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312bc092b9f26f63/Documents/Financial Models/AQR/"/>
    </mc:Choice>
  </mc:AlternateContent>
  <xr:revisionPtr revIDLastSave="618" documentId="11_1BF658707EBB37F74FDC5F9D9B744E8427035DAA" xr6:coauthVersionLast="47" xr6:coauthVersionMax="47" xr10:uidLastSave="{C2F064FA-002D-4313-A896-95470C7E9EA6}"/>
  <bookViews>
    <workbookView xWindow="3710" yWindow="2090" windowWidth="33260" windowHeight="17710" firstSheet="19" activeTab="22" xr2:uid="{00000000-000D-0000-FFFF-FFFF00000000}"/>
  </bookViews>
  <sheets>
    <sheet name="Cover" sheetId="1" r:id="rId1"/>
    <sheet name="Contents" sheetId="2" r:id="rId2"/>
    <sheet name="InpC" sheetId="3" r:id="rId3"/>
    <sheet name="InpS" sheetId="4" r:id="rId4"/>
    <sheet name="InpT" sheetId="5" state="hidden" r:id="rId5"/>
    <sheet name="Time" sheetId="6" r:id="rId6"/>
    <sheet name="Unallocated" sheetId="7" state="hidden" r:id="rId7"/>
    <sheet name="Metrics" sheetId="8" r:id="rId8"/>
    <sheet name="Financials" sheetId="9" r:id="rId9"/>
    <sheet name="Customers" sheetId="10" r:id="rId10"/>
    <sheet name="Income" sheetId="11" r:id="rId11"/>
    <sheet name="Inventory" sheetId="12" r:id="rId12"/>
    <sheet name="Assets" sheetId="13" r:id="rId13"/>
    <sheet name="Expense" sheetId="14" r:id="rId14"/>
    <sheet name="Working Capital" sheetId="15" r:id="rId15"/>
    <sheet name="Invoice finance" sheetId="16" r:id="rId16"/>
    <sheet name="Supply Chain finance" sheetId="17" r:id="rId17"/>
    <sheet name="Asset Finance" sheetId="18" r:id="rId18"/>
    <sheet name="VAT" sheetId="19" r:id="rId19"/>
    <sheet name="Corporation tax" sheetId="20" r:id="rId20"/>
    <sheet name="Equity" sheetId="21" r:id="rId21"/>
    <sheet name="Model Checks and Alerts" sheetId="22" r:id="rId22"/>
    <sheet name="Income Statement Ann" sheetId="23" r:id="rId23"/>
    <sheet name="Balance Sheet Ann" sheetId="24" r:id="rId24"/>
    <sheet name="Cashflow Ann" sheetId="25" r:id="rId25"/>
    <sheet name="Inventory Report Ann" sheetId="26" r:id="rId26"/>
    <sheet name="Metrics Report Ann" sheetId="27" r:id="rId27"/>
    <sheet name="Income Statement" sheetId="28" r:id="rId28"/>
    <sheet name="Income Statement Qly" sheetId="29" r:id="rId29"/>
    <sheet name="Income Statement SemiAnnually" sheetId="30" r:id="rId30"/>
    <sheet name="Balance Sheet" sheetId="31" r:id="rId31"/>
    <sheet name="Balance Sheet Qly" sheetId="32" r:id="rId32"/>
    <sheet name="Balance Sheet SemiAnnually" sheetId="33" r:id="rId33"/>
    <sheet name="Cashflow" sheetId="34" r:id="rId34"/>
    <sheet name="Cashflow Qly" sheetId="35" r:id="rId35"/>
    <sheet name="Cashflow SemiAnnually" sheetId="36" r:id="rId36"/>
    <sheet name="Inventory Report" sheetId="37" r:id="rId37"/>
    <sheet name="Inventory Report Qly" sheetId="38" r:id="rId38"/>
    <sheet name="Inventory Report SemiAnnually" sheetId="39" r:id="rId39"/>
    <sheet name="Metrics Report" sheetId="40" r:id="rId40"/>
    <sheet name="Metrics Report Qly" sheetId="41" r:id="rId41"/>
    <sheet name="Metrics Report SemiAnnually" sheetId="42" r:id="rId42"/>
    <sheet name="Results Table" sheetId="43" r:id="rId43"/>
    <sheet name="Output" sheetId="44" r:id="rId44"/>
    <sheet name="Issues" sheetId="45" r:id="rId45"/>
    <sheet name="Styles" sheetId="46" r:id="rId46"/>
  </sheets>
  <definedNames>
    <definedName name="Asset_Finance_balance">'Asset Finance'!$J$15:$BQ$15</definedName>
    <definedName name="Asset_Finance_balance.BEG">'Asset Finance'!$J$11:$BQ$11</definedName>
    <definedName name="Asset_Finance_balance.FLOW">'Asset Finance'!$J$11:$BQ$11</definedName>
    <definedName name="Asset_Finance_drawdown">'Asset Finance'!$J$22:$BQ$22</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FLOW">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creditor.FLOW">'Corporation tax'!$J$75:$BQ$75</definedName>
    <definedName name="Corporation_tax_paid">'Corporation tax'!$J$68:$BQ$68</definedName>
    <definedName name="Corporation_tax_paid.NEG">'Corporation tax'!$J$69:$BQ$69</definedName>
    <definedName name="Creditors">'Working Capital'!$J$36:$BQ$36</definedName>
    <definedName name="Creditors.BEG">'Working Capital'!$J$28:$BQ$28</definedName>
    <definedName name="Creditors.FLOW">'Working Capital'!$J$28:$BQ$28</definedName>
    <definedName name="Customer_Orders_Awaiting_Fullfilment">Customers!$J$24:$BQ$24</definedName>
    <definedName name="Customer_Orders_Awaiting_Fullfilment.BEG">Customers!$J$20:$BQ$20</definedName>
    <definedName name="Customer_Orders_Awaiting_Fullfilment.FLOW">Customers!$J$20:$BQ$20</definedName>
    <definedName name="Debtors">'Working Capital'!$J$45:$BQ$45</definedName>
    <definedName name="Debtors.BEG">'Working Capital'!$J$41:$BQ$41</definedName>
    <definedName name="Debtors.FLOW">'Working Capital'!$J$41:$BQ$41</definedName>
    <definedName name="Deferred_Income">Income!$J$27:$BQ$27</definedName>
    <definedName name="Deferred_Income.BEG">Income!$J$24:$BQ$24</definedName>
    <definedName name="Deferred_Income.FLOW">Income!$J$24:$BQ$24</definedName>
    <definedName name="Deployed_units_returned">Inventory!$J$18:$BQ$18</definedName>
    <definedName name="Depreciation">Assets!$J$31:$BQ$31</definedName>
    <definedName name="Depreciation.BEG">Assets!$J$28:$BQ$28</definedName>
    <definedName name="Depreciation.FLOW">Assets!$J$28:$BQ$28</definedName>
    <definedName name="Depreciation.NEG">Assets!$J$32:$BQ$32</definedName>
    <definedName name="Depreciation_this_period">Assets!$J$13:$BQ$13</definedName>
    <definedName name="Depreciation_this_period.NEG">Assets!$J$14:$BQ$14</definedName>
    <definedName name="EBIT">'Income Statement'!$J$14:$BQ$14</definedName>
    <definedName name="EBITDA">'Income Statement'!$J$11:$BQ$11</definedName>
    <definedName name="ExampleInputRow">InpC!$14:$14</definedName>
    <definedName name="FirstDifferenceCell" localSheetId="2">InpC!$I$13</definedName>
    <definedName name="FirstRow" localSheetId="2">InpC!$A$14</definedName>
    <definedName name="FirstRow">InpS!$A$7</definedName>
    <definedName name="FirstTime">InpS!$J$1</definedName>
    <definedName name="Fixed_operating_expense">Expense!$J$19:$BQ$19</definedName>
    <definedName name="Fixed_operating_expense.NEG">Expense!$J$20:$BQ$20</definedName>
    <definedName name="Headings">InpS!$E$2:$E$5</definedName>
    <definedName name="Income">Income!$J$18:$BQ$18</definedName>
    <definedName name="InputChanges" localSheetId="2">InpC!$F$7</definedName>
    <definedName name="Inventory">Assets!$J$23:$BQ$23</definedName>
    <definedName name="Inventory.BEG">Assets!$J$20:$BQ$20</definedName>
    <definedName name="Inventory.FLOW">Assets!$J$20:$BQ$20</definedName>
    <definedName name="Invoice_finance_balance">'Invoice finance'!$J$15:$BQ$15</definedName>
    <definedName name="Invoice_finance_balance.BEG">'Invoice finance'!$J$11:$BQ$11</definedName>
    <definedName name="Invoice_finance_balance.FLOW">'Invoice finance'!$J$11:$BQ$11</definedName>
    <definedName name="Invoice_finance_drawdown">'Invoice finance'!$J$21:$BQ$21</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Label">InpS!$E$1</definedName>
    <definedName name="Liabilities">'Balance Sheet'!$J$21:$BQ$21</definedName>
    <definedName name="MasterALERT" localSheetId="17">'Asset Finance'!$F$3</definedName>
    <definedName name="MasterALERT" localSheetId="12">Assets!$F$3</definedName>
    <definedName name="MasterALERT" localSheetId="30">'Balance Sheet'!$F$3</definedName>
    <definedName name="MasterALERT" localSheetId="23">'Balance Sheet Ann'!$F$3</definedName>
    <definedName name="MasterALERT" localSheetId="31">'Balance Sheet Qly'!$F$3</definedName>
    <definedName name="MasterALERT" localSheetId="32">'Balance Sheet SemiAnnually'!$F$3</definedName>
    <definedName name="MasterALERT" localSheetId="33">Cashflow!$F$3</definedName>
    <definedName name="MasterALERT" localSheetId="24">'Cashflow Ann'!$F$3</definedName>
    <definedName name="MasterALERT" localSheetId="34">'Cashflow Qly'!$F$3</definedName>
    <definedName name="MasterALERT" localSheetId="35">'Cashflow SemiAnnually'!$F$3</definedName>
    <definedName name="MasterALERT" localSheetId="19">'Corporation tax'!$F$3</definedName>
    <definedName name="MasterALERT" localSheetId="9">Customers!$F$3</definedName>
    <definedName name="MasterALERT" localSheetId="20">Equity!$F$3</definedName>
    <definedName name="MasterALERT" localSheetId="13">Expense!$F$3</definedName>
    <definedName name="MasterALERT" localSheetId="8">Financials!$F$3</definedName>
    <definedName name="MasterALERT" localSheetId="10">Income!$F$3</definedName>
    <definedName name="MasterALERT" localSheetId="27">'Income Statement'!$F$3</definedName>
    <definedName name="MasterALERT" localSheetId="22">'Income Statement Ann'!$F$3</definedName>
    <definedName name="MasterALERT" localSheetId="28">'Income Statement Qly'!$F$3</definedName>
    <definedName name="MasterALERT" localSheetId="29">'Income Statement SemiAnnually'!$F$3</definedName>
    <definedName name="MasterALERT" localSheetId="3">InpS!$F$3</definedName>
    <definedName name="MasterALERT" localSheetId="4">InpT!$F$3</definedName>
    <definedName name="MasterALERT" localSheetId="11">Inventory!$F$3</definedName>
    <definedName name="MasterALERT" localSheetId="36">'Inventory Report'!$F$3</definedName>
    <definedName name="MasterALERT" localSheetId="25">'Inventory Report Ann'!$F$3</definedName>
    <definedName name="MasterALERT" localSheetId="37">'Inventory Report Qly'!$F$3</definedName>
    <definedName name="MasterALERT" localSheetId="38">'Inventory Report SemiAnnually'!$F$3</definedName>
    <definedName name="MasterALERT" localSheetId="15">'Invoice finance'!$F$3</definedName>
    <definedName name="MasterALERT" localSheetId="7">Metrics!$F$3</definedName>
    <definedName name="MasterALERT" localSheetId="39">'Metrics Report'!$F$3</definedName>
    <definedName name="MasterALERT" localSheetId="26">'Metrics Report Ann'!$F$3</definedName>
    <definedName name="MasterALERT" localSheetId="40">'Metrics Report Qly'!$F$3</definedName>
    <definedName name="MasterALERT" localSheetId="41">'Metrics Report SemiAnnually'!$F$3</definedName>
    <definedName name="MasterALERT" localSheetId="21">'Model Checks and Alerts'!$F$3</definedName>
    <definedName name="MasterALERT" localSheetId="42">'Results Table'!$F$3</definedName>
    <definedName name="MasterALERT" localSheetId="16">'Supply Chain finance'!$F$3</definedName>
    <definedName name="MasterALERT" localSheetId="5">Time!$F$3</definedName>
    <definedName name="MasterALERT" localSheetId="6">Unallocated!$F$3</definedName>
    <definedName name="MasterALERT" localSheetId="18">VAT!$F$3</definedName>
    <definedName name="MasterALERT" localSheetId="14">'Working Capital'!$F$3</definedName>
    <definedName name="MasterCHK" localSheetId="17">'Asset Finance'!$F$2</definedName>
    <definedName name="MasterCHK" localSheetId="12">Assets!$F$2</definedName>
    <definedName name="MasterCHK" localSheetId="30">'Balance Sheet'!$F$2</definedName>
    <definedName name="MasterCHK" localSheetId="23">'Balance Sheet Ann'!$F$2</definedName>
    <definedName name="MasterCHK" localSheetId="31">'Balance Sheet Qly'!$F$2</definedName>
    <definedName name="MasterCHK" localSheetId="32">'Balance Sheet SemiAnnually'!$F$2</definedName>
    <definedName name="MasterCHK" localSheetId="33">Cashflow!$F$2</definedName>
    <definedName name="MasterCHK" localSheetId="24">'Cashflow Ann'!$F$2</definedName>
    <definedName name="MasterCHK" localSheetId="34">'Cashflow Qly'!$F$2</definedName>
    <definedName name="MasterCHK" localSheetId="35">'Cashflow SemiAnnually'!$F$2</definedName>
    <definedName name="MasterCHK" localSheetId="19">'Corporation tax'!$F$2</definedName>
    <definedName name="MasterCHK" localSheetId="9">Customers!$F$2</definedName>
    <definedName name="MasterCHK" localSheetId="20">Equity!$F$2</definedName>
    <definedName name="MasterCHK" localSheetId="13">Expense!$F$2</definedName>
    <definedName name="MasterCHK" localSheetId="8">Financials!$F$2</definedName>
    <definedName name="MasterCHK" localSheetId="10">Income!$F$2</definedName>
    <definedName name="MasterCHK" localSheetId="27">'Income Statement'!$F$2</definedName>
    <definedName name="MasterCHK" localSheetId="22">'Income Statement Ann'!$F$2</definedName>
    <definedName name="MasterCHK" localSheetId="28">'Income Statement Qly'!$F$2</definedName>
    <definedName name="MasterCHK" localSheetId="29">'Income Statement SemiAnnually'!$F$2</definedName>
    <definedName name="MasterCHK" localSheetId="3">InpS!$F$2</definedName>
    <definedName name="MasterCHK" localSheetId="4">InpT!$F$2</definedName>
    <definedName name="MasterCHK" localSheetId="11">Inventory!$F$2</definedName>
    <definedName name="MasterCHK" localSheetId="36">'Inventory Report'!$F$2</definedName>
    <definedName name="MasterCHK" localSheetId="25">'Inventory Report Ann'!$F$2</definedName>
    <definedName name="MasterCHK" localSheetId="37">'Inventory Report Qly'!$F$2</definedName>
    <definedName name="MasterCHK" localSheetId="38">'Inventory Report SemiAnnually'!$F$2</definedName>
    <definedName name="MasterCHK" localSheetId="15">'Invoice finance'!$F$2</definedName>
    <definedName name="MasterCHK" localSheetId="7">Metrics!$F$2</definedName>
    <definedName name="MasterCHK" localSheetId="39">'Metrics Report'!$F$2</definedName>
    <definedName name="MasterCHK" localSheetId="26">'Metrics Report Ann'!$F$2</definedName>
    <definedName name="MasterCHK" localSheetId="40">'Metrics Report Qly'!$F$2</definedName>
    <definedName name="MasterCHK" localSheetId="41">'Metrics Report SemiAnnually'!$F$2</definedName>
    <definedName name="MasterCHK" localSheetId="21">'Model Checks and Alerts'!$F$2</definedName>
    <definedName name="MasterCHK" localSheetId="42">'Results Table'!$F$2</definedName>
    <definedName name="MasterCHK" localSheetId="16">'Supply Chain finance'!$F$2</definedName>
    <definedName name="MasterCHK" localSheetId="5">Time!$F$2</definedName>
    <definedName name="MasterCHK" localSheetId="6">Unallocated!$F$2</definedName>
    <definedName name="MasterCHK" localSheetId="18">VAT!$F$2</definedName>
    <definedName name="MasterCHK" localSheetId="14">'Working Capital'!$F$2</definedName>
    <definedName name="Net_Assets">Financials!$J$24:$BQ$24</definedName>
    <definedName name="Net_Cashflow">Cashflow!$J$29:$BQ$29</definedName>
    <definedName name="New_customer_orders">Customers!$J$14:$BQ$14</definedName>
    <definedName name="New_share_capital_issued">InpS!$J$11:$BQ$11</definedName>
    <definedName name="obxIssuesLog">Issues!$A$5</definedName>
    <definedName name="Operating_Cashflow">Cashflow!$J$12:$BQ$12</definedName>
    <definedName name="Profit_before_tax">'Income Statement'!$J$19:$BQ$19</definedName>
    <definedName name="Renewing_Customer_Orders">Customers!$J$35:$BQ$35</definedName>
    <definedName name="ReportBarFormat">Contents!$A$5</definedName>
    <definedName name="Retained_Earnings">Financials!$J$38:$BQ$38</definedName>
    <definedName name="Retained_Earnings.BEG">Financials!$J$36:$BQ$36</definedName>
    <definedName name="Retained_Earnings.FLOW">Financials!$J$36:$BQ$36</definedName>
    <definedName name="Retained_Earnings_this_period">'Income Statement'!$J$22:$BQ$22</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_Capital.FLOW">Equity!$J$11:$BQ$11</definedName>
    <definedName name="Shareholder_Equity">Financials!$J$30:$BQ$30</definedName>
    <definedName name="Supply_Chain_Finance_balance">'Supply Chain finance'!$J$15:$BQ$15</definedName>
    <definedName name="Supply_Chain_Finance_balance.BEG">'Supply Chain finance'!$J$11:$BQ$11</definedName>
    <definedName name="Supply_Chain_Finance_balance.FLOW">'Supply Chain finance'!$J$11:$BQ$11</definedName>
    <definedName name="Supply_Chain_Finance_drawdown">'Supply Chain finance'!$J$22:$BQ$22</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InpC!$A$88</definedName>
    <definedName name="TOCobxInputs.Customer_Orders">InpC!$A$13</definedName>
    <definedName name="TOCobxInputs.Debt">InpC!$A$55</definedName>
    <definedName name="TOCobxInputs.Debt.Asset_Finance">InpC!$B$73</definedName>
    <definedName name="TOCobxInputs.Debt.Invoice_Finance">InpC!$B$59</definedName>
    <definedName name="TOCobxInputs.Debt.Supply_Chain_Finance">InpC!$B$66</definedName>
    <definedName name="TOCobxInputs.Equity">InpS!$A$10</definedName>
    <definedName name="TOCobxInputs.Expense">InpC!$A$24</definedName>
    <definedName name="TOCobxInputs.Inventory">InpC!$A$37</definedName>
    <definedName name="TOCobxInputs.Model_Constants">InpC!$A$97</definedName>
    <definedName name="TOCobxInputs.Opening_Balances">InpC!$A$44</definedName>
    <definedName name="TOCobxInputs.Short_term_forecast">InpS!$A$13</definedName>
    <definedName name="TOCobxInputs.Supplier_orders">InpC!$A$30</definedName>
    <definedName name="TOCobxInputs.VAT">InpC!$A$81</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Time!$A$230</definedName>
    <definedName name="TOCobxTime.Fixed_Operating_Cost_Growth_Rate_index">Time!$A$174</definedName>
    <definedName name="TOCobxTime.Headers">Time!$A$16</definedName>
    <definedName name="TOCobxTime.Model_timelines">Time!$A$295</definedName>
    <definedName name="TOCobxTime.Use_short_term_forecast_flag">Time!$A$288</definedName>
    <definedName name="TOCobxTime.VAT_return_this_period_flag">Time!$A$255</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_Units_retired">Inventory!$J$85:$BQ$85</definedName>
    <definedName name="Total_Units_retired.BEG">Inventory!$J$83:$BQ$83</definedName>
    <definedName name="Total_Units_retired.FLOW">Inventory!$J$83:$BQ$83</definedName>
    <definedName name="Totals">InpS!$H$5</definedName>
    <definedName name="Units">InpS!$G$1</definedName>
    <definedName name="Units_delivered">Inventory!$J$41:$BQ$41</definedName>
    <definedName name="Units_deployed">Inventory!$J$54:$BQ$54</definedName>
    <definedName name="Units_in_stock">Inventory!$J$65:$BQ$65</definedName>
    <definedName name="Units_in_stock.BEG">Inventory!$J$60:$BQ$60</definedName>
    <definedName name="Units_in_stock.FLOW">Inventory!$J$60:$BQ$60</definedName>
    <definedName name="Units_in_use">Inventory!$J$73:$BQ$73</definedName>
    <definedName name="Units_in_use.BEG">Inventory!$J$70:$BQ$70</definedName>
    <definedName name="Units_in_use.FLOW">Inventory!$J$70:$BQ$70</definedName>
    <definedName name="Units_on_order">Inventory!$J$50:$BQ$50</definedName>
    <definedName name="Units_on_order.BEG">Inventory!$J$47:$BQ$47</definedName>
    <definedName name="Units_on_order.FLOW">Inventory!$J$47:$BQ$47</definedName>
    <definedName name="Units_ordered">Inventory!$J$33:$BQ$33</definedName>
    <definedName name="Units_retired">Inventory!$J$77:$BQ$77</definedName>
    <definedName name="Variable_Operating_expense">Expense!$J$26:$BQ$26</definedName>
    <definedName name="Variable_Operating_expense.NEG">Expense!$J$27:$BQ$27</definedName>
    <definedName name="VAT_balance">VAT!$J$32:$BQ$32</definedName>
    <definedName name="VAT_balance.BEG">VAT!$J$29:$BQ$29</definedName>
    <definedName name="VAT_balance.FLOW">VAT!$J$29:$BQ$29</definedName>
    <definedName name="VAT_paid">VAT!$J$37:$BQ$37</definedName>
    <definedName name="VAT_paid.NEG">VAT!$J$38:$BQ$38</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 i="4" l="1"/>
  <c r="H15" i="4"/>
  <c r="H14" i="4"/>
  <c r="H11" i="4"/>
  <c r="A1" i="4"/>
  <c r="I13" i="3"/>
  <c r="M7" i="3"/>
  <c r="L7" i="3"/>
  <c r="K7" i="3"/>
  <c r="I5" i="3"/>
  <c r="I4" i="3"/>
  <c r="A1" i="3"/>
  <c r="A1" i="45"/>
  <c r="H21" i="44"/>
  <c r="H20" i="44"/>
  <c r="K12" i="44"/>
  <c r="J5" i="44"/>
  <c r="K10" i="44" s="1"/>
  <c r="J2" i="44"/>
  <c r="H2" i="44"/>
  <c r="F1" i="43"/>
  <c r="A1" i="43"/>
  <c r="G8" i="42"/>
  <c r="E8" i="42"/>
  <c r="F1" i="42"/>
  <c r="A1" i="42"/>
  <c r="G8" i="41"/>
  <c r="E8" i="41"/>
  <c r="F1" i="41"/>
  <c r="A1" i="41"/>
  <c r="G8" i="40"/>
  <c r="E8" i="40"/>
  <c r="F1" i="40"/>
  <c r="A1" i="40"/>
  <c r="H19" i="39"/>
  <c r="G19" i="39"/>
  <c r="F19" i="39"/>
  <c r="E19" i="39"/>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H19" i="38"/>
  <c r="G19" i="38"/>
  <c r="F19" i="38"/>
  <c r="E19" i="38"/>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H19" i="37"/>
  <c r="G19" i="37"/>
  <c r="F19" i="37"/>
  <c r="E19" i="37"/>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H19" i="26"/>
  <c r="G19" i="26"/>
  <c r="F19" i="26"/>
  <c r="E19" i="26"/>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2" i="13"/>
  <c r="E32" i="13"/>
  <c r="I30" i="13"/>
  <c r="G30" i="13"/>
  <c r="F30" i="13"/>
  <c r="E30" i="13"/>
  <c r="I29" i="13"/>
  <c r="G29" i="13"/>
  <c r="F29" i="13"/>
  <c r="E29" i="13"/>
  <c r="I27" i="13"/>
  <c r="H27" i="13"/>
  <c r="G27" i="13"/>
  <c r="F27" i="13"/>
  <c r="E27" i="13"/>
  <c r="G26" i="13"/>
  <c r="E26" i="13"/>
  <c r="I22" i="13"/>
  <c r="G22" i="13"/>
  <c r="F22" i="13"/>
  <c r="E22" i="13"/>
  <c r="I21" i="13"/>
  <c r="G21" i="13"/>
  <c r="F21" i="13"/>
  <c r="E21" i="13"/>
  <c r="I19" i="13"/>
  <c r="H19" i="13"/>
  <c r="G19" i="13"/>
  <c r="F19" i="13"/>
  <c r="E19" i="13"/>
  <c r="G18" i="13"/>
  <c r="E18" i="13"/>
  <c r="G14" i="13"/>
  <c r="E14" i="13"/>
  <c r="H12" i="13"/>
  <c r="G12" i="13"/>
  <c r="F12" i="13"/>
  <c r="E12" i="13"/>
  <c r="I11" i="13"/>
  <c r="H11" i="13"/>
  <c r="G11" i="13"/>
  <c r="F11" i="13"/>
  <c r="E11" i="13"/>
  <c r="G10" i="13"/>
  <c r="E10" i="13"/>
  <c r="G9" i="13"/>
  <c r="E9" i="13"/>
  <c r="F1" i="13"/>
  <c r="A1" i="13"/>
  <c r="I84" i="12"/>
  <c r="G84" i="12"/>
  <c r="F84" i="12"/>
  <c r="E84" i="12"/>
  <c r="I82" i="12"/>
  <c r="H82" i="12"/>
  <c r="G82" i="12"/>
  <c r="F82" i="12"/>
  <c r="E82" i="12"/>
  <c r="G81" i="12"/>
  <c r="E81" i="12"/>
  <c r="I76" i="12"/>
  <c r="G76" i="12"/>
  <c r="F76" i="12"/>
  <c r="E76" i="12"/>
  <c r="I72" i="12"/>
  <c r="G72" i="12"/>
  <c r="F72" i="12"/>
  <c r="E72" i="12"/>
  <c r="I71" i="12"/>
  <c r="G71" i="12"/>
  <c r="F71" i="12"/>
  <c r="E71" i="12"/>
  <c r="I69" i="12"/>
  <c r="H69" i="12"/>
  <c r="G69" i="12"/>
  <c r="F69" i="12"/>
  <c r="E69" i="12"/>
  <c r="G68" i="12"/>
  <c r="E68" i="12"/>
  <c r="I64" i="12"/>
  <c r="G64" i="12"/>
  <c r="F64" i="12"/>
  <c r="E64" i="12"/>
  <c r="I63" i="12"/>
  <c r="G63" i="12"/>
  <c r="F63" i="12"/>
  <c r="E63" i="12"/>
  <c r="I62" i="12"/>
  <c r="G62" i="12"/>
  <c r="F62" i="12"/>
  <c r="E62" i="12"/>
  <c r="I61" i="12"/>
  <c r="G61" i="12"/>
  <c r="F61" i="12"/>
  <c r="E61" i="12"/>
  <c r="I59" i="12"/>
  <c r="H59" i="12"/>
  <c r="G59" i="12"/>
  <c r="F59" i="12"/>
  <c r="E59" i="12"/>
  <c r="G58" i="12"/>
  <c r="E58" i="12"/>
  <c r="I53" i="12"/>
  <c r="G53" i="12"/>
  <c r="F53" i="12"/>
  <c r="E53" i="12"/>
  <c r="I49" i="12"/>
  <c r="G49" i="12"/>
  <c r="F49" i="12"/>
  <c r="E49" i="12"/>
  <c r="I48" i="12"/>
  <c r="G48" i="12"/>
  <c r="F48" i="12"/>
  <c r="E48" i="12"/>
  <c r="I46" i="12"/>
  <c r="H46" i="12"/>
  <c r="G46" i="12"/>
  <c r="F46" i="12"/>
  <c r="E46" i="12"/>
  <c r="G45" i="12"/>
  <c r="E45" i="12"/>
  <c r="I40" i="12"/>
  <c r="G40" i="12"/>
  <c r="F40" i="12"/>
  <c r="E40" i="12"/>
  <c r="I39" i="12"/>
  <c r="G39" i="12"/>
  <c r="F39" i="12"/>
  <c r="E39" i="12"/>
  <c r="BQ38" i="12"/>
  <c r="BP38" i="12"/>
  <c r="BO38"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G38" i="12"/>
  <c r="F38" i="12"/>
  <c r="E38" i="12"/>
  <c r="G37" i="12"/>
  <c r="E37" i="12"/>
  <c r="I32" i="12"/>
  <c r="G32" i="12"/>
  <c r="F32" i="12"/>
  <c r="E32" i="12"/>
  <c r="I31" i="12"/>
  <c r="G31" i="12"/>
  <c r="F31" i="12"/>
  <c r="E31" i="12"/>
  <c r="BQ30" i="12"/>
  <c r="BP30" i="12"/>
  <c r="BO30"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AI30"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G30" i="12"/>
  <c r="F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42" i="10"/>
  <c r="G42" i="10"/>
  <c r="F42" i="10"/>
  <c r="E42" i="10"/>
  <c r="I41" i="10"/>
  <c r="G41" i="10"/>
  <c r="F41" i="10"/>
  <c r="E41" i="10"/>
  <c r="G40" i="10"/>
  <c r="E40" i="10"/>
  <c r="G39" i="10"/>
  <c r="E39" i="10"/>
  <c r="I34" i="10"/>
  <c r="G34" i="10"/>
  <c r="F34" i="10"/>
  <c r="E34" i="10"/>
  <c r="G33" i="10"/>
  <c r="E33" i="10"/>
  <c r="I28" i="10"/>
  <c r="H28" i="10"/>
  <c r="G28" i="10"/>
  <c r="F28" i="10"/>
  <c r="E28" i="10"/>
  <c r="I27" i="10"/>
  <c r="H27" i="10"/>
  <c r="G27" i="10"/>
  <c r="F27" i="10"/>
  <c r="E27" i="10"/>
  <c r="I23" i="10"/>
  <c r="G23" i="10"/>
  <c r="F23" i="10"/>
  <c r="E23" i="10"/>
  <c r="I22" i="10"/>
  <c r="G22" i="10"/>
  <c r="F22" i="10"/>
  <c r="E22" i="10"/>
  <c r="I21" i="10"/>
  <c r="G21" i="10"/>
  <c r="F21" i="10"/>
  <c r="E21" i="10"/>
  <c r="I19" i="10"/>
  <c r="H19" i="10"/>
  <c r="G19" i="10"/>
  <c r="F19" i="10"/>
  <c r="E19" i="10"/>
  <c r="G18" i="10"/>
  <c r="E18" i="10"/>
  <c r="I13" i="10"/>
  <c r="G13" i="10"/>
  <c r="F13" i="10"/>
  <c r="E13" i="10"/>
  <c r="I12" i="10"/>
  <c r="H12" i="10"/>
  <c r="G12" i="10"/>
  <c r="F12" i="10"/>
  <c r="E12" i="10"/>
  <c r="BQ11" i="10"/>
  <c r="BP11" i="10"/>
  <c r="BO11" i="10"/>
  <c r="BN11" i="10"/>
  <c r="BM11" i="10"/>
  <c r="BL11" i="10"/>
  <c r="BK11" i="10"/>
  <c r="BJ11" i="10"/>
  <c r="BI11" i="10"/>
  <c r="BH11" i="10"/>
  <c r="BG11" i="10"/>
  <c r="BF11" i="10"/>
  <c r="BE11" i="10"/>
  <c r="BD11" i="10"/>
  <c r="BC11" i="10"/>
  <c r="BB11" i="10"/>
  <c r="BA11" i="10"/>
  <c r="AZ11" i="10"/>
  <c r="AY11" i="10"/>
  <c r="AX11" i="10"/>
  <c r="AW11" i="10"/>
  <c r="AV11" i="10"/>
  <c r="AU11" i="10"/>
  <c r="AT11" i="10"/>
  <c r="AS11" i="10"/>
  <c r="AR11" i="10"/>
  <c r="AQ11" i="10"/>
  <c r="AP11" i="10"/>
  <c r="AO11" i="10"/>
  <c r="AN11" i="10"/>
  <c r="AM11" i="10"/>
  <c r="AL11" i="10"/>
  <c r="AK11" i="10"/>
  <c r="AJ11" i="10"/>
  <c r="AI11" i="10"/>
  <c r="AH11" i="10"/>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G11" i="10"/>
  <c r="F11" i="10"/>
  <c r="E11" i="10"/>
  <c r="G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F357" i="6"/>
  <c r="G356" i="6"/>
  <c r="F356" i="6"/>
  <c r="E356" i="6"/>
  <c r="I351" i="6"/>
  <c r="I352" i="6" s="1"/>
  <c r="H351" i="6"/>
  <c r="G351" i="6"/>
  <c r="F351" i="6"/>
  <c r="E351" i="6"/>
  <c r="I346" i="6"/>
  <c r="H346" i="6"/>
  <c r="G346" i="6"/>
  <c r="F346" i="6"/>
  <c r="E346" i="6"/>
  <c r="G341" i="6"/>
  <c r="F341" i="6"/>
  <c r="F342" i="6" s="1"/>
  <c r="E341" i="6"/>
  <c r="I336" i="6"/>
  <c r="I337" i="6" s="1"/>
  <c r="H336" i="6"/>
  <c r="G336" i="6"/>
  <c r="F336" i="6"/>
  <c r="E336" i="6"/>
  <c r="I331" i="6"/>
  <c r="H331" i="6"/>
  <c r="G331" i="6"/>
  <c r="F331" i="6"/>
  <c r="E331" i="6"/>
  <c r="G326" i="6"/>
  <c r="F326" i="6"/>
  <c r="F327" i="6" s="1"/>
  <c r="E326" i="6"/>
  <c r="G325" i="6"/>
  <c r="F325" i="6"/>
  <c r="E325" i="6"/>
  <c r="I320" i="6"/>
  <c r="H320" i="6"/>
  <c r="G320" i="6"/>
  <c r="F320" i="6"/>
  <c r="E320" i="6"/>
  <c r="I319" i="6"/>
  <c r="I321" i="6" s="1"/>
  <c r="H319" i="6"/>
  <c r="G319" i="6"/>
  <c r="F319" i="6"/>
  <c r="E319" i="6"/>
  <c r="G318" i="6"/>
  <c r="F318" i="6"/>
  <c r="E318" i="6"/>
  <c r="I313" i="6"/>
  <c r="H313" i="6"/>
  <c r="G313" i="6"/>
  <c r="F313" i="6"/>
  <c r="E313" i="6"/>
  <c r="I312" i="6"/>
  <c r="H312" i="6"/>
  <c r="G312" i="6"/>
  <c r="F312" i="6"/>
  <c r="E312" i="6"/>
  <c r="G311" i="6"/>
  <c r="F311" i="6"/>
  <c r="E311" i="6"/>
  <c r="F307" i="6"/>
  <c r="G306" i="6"/>
  <c r="F306" i="6"/>
  <c r="E306" i="6"/>
  <c r="I301" i="6"/>
  <c r="I302" i="6" s="1"/>
  <c r="H301" i="6"/>
  <c r="G301" i="6"/>
  <c r="F301" i="6"/>
  <c r="E301" i="6"/>
  <c r="I296" i="6"/>
  <c r="H296" i="6"/>
  <c r="G296" i="6"/>
  <c r="F296" i="6"/>
  <c r="E296" i="6"/>
  <c r="I290" i="6"/>
  <c r="H290" i="6"/>
  <c r="G290" i="6"/>
  <c r="F290" i="6"/>
  <c r="E290" i="6"/>
  <c r="G289" i="6"/>
  <c r="E289" i="6"/>
  <c r="I283" i="6"/>
  <c r="H283" i="6"/>
  <c r="G283" i="6"/>
  <c r="F283" i="6"/>
  <c r="E283" i="6"/>
  <c r="I282" i="6"/>
  <c r="H282" i="6"/>
  <c r="G282" i="6"/>
  <c r="F282" i="6"/>
  <c r="E282" i="6"/>
  <c r="G281" i="6"/>
  <c r="E281" i="6"/>
  <c r="I276" i="6"/>
  <c r="G276" i="6"/>
  <c r="F276" i="6"/>
  <c r="E276" i="6"/>
  <c r="I275" i="6"/>
  <c r="H275" i="6"/>
  <c r="G275" i="6"/>
  <c r="F275" i="6"/>
  <c r="E275" i="6"/>
  <c r="I270" i="6"/>
  <c r="G270" i="6"/>
  <c r="F270" i="6"/>
  <c r="E270" i="6"/>
  <c r="G265" i="6"/>
  <c r="E265" i="6"/>
  <c r="G264" i="6"/>
  <c r="E264" i="6"/>
  <c r="I259" i="6"/>
  <c r="H259" i="6"/>
  <c r="G259" i="6"/>
  <c r="F259" i="6"/>
  <c r="E259" i="6"/>
  <c r="G258" i="6"/>
  <c r="E258" i="6"/>
  <c r="G257" i="6"/>
  <c r="E257" i="6"/>
  <c r="G256" i="6"/>
  <c r="E256" i="6"/>
  <c r="I250" i="6"/>
  <c r="H250" i="6"/>
  <c r="G250" i="6"/>
  <c r="F250" i="6"/>
  <c r="E250" i="6"/>
  <c r="I249" i="6"/>
  <c r="H249" i="6"/>
  <c r="G249" i="6"/>
  <c r="F249" i="6"/>
  <c r="E249" i="6"/>
  <c r="G248" i="6"/>
  <c r="E248" i="6"/>
  <c r="G247" i="6"/>
  <c r="E247" i="6"/>
  <c r="I242" i="6"/>
  <c r="H242" i="6"/>
  <c r="G242" i="6"/>
  <c r="F242" i="6"/>
  <c r="E242" i="6"/>
  <c r="I241" i="6"/>
  <c r="H241" i="6"/>
  <c r="G241" i="6"/>
  <c r="F241" i="6"/>
  <c r="E241" i="6"/>
  <c r="G240" i="6"/>
  <c r="E240" i="6"/>
  <c r="G239" i="6"/>
  <c r="E239" i="6"/>
  <c r="I234" i="6"/>
  <c r="H234" i="6"/>
  <c r="G234" i="6"/>
  <c r="F234" i="6"/>
  <c r="E234" i="6"/>
  <c r="I233" i="6"/>
  <c r="H233" i="6"/>
  <c r="G233" i="6"/>
  <c r="F233" i="6"/>
  <c r="E233" i="6"/>
  <c r="G232" i="6"/>
  <c r="E232" i="6"/>
  <c r="G231" i="6"/>
  <c r="E231" i="6"/>
  <c r="I225" i="6"/>
  <c r="G225" i="6"/>
  <c r="F225" i="6"/>
  <c r="E225" i="6"/>
  <c r="I224" i="6"/>
  <c r="G224" i="6"/>
  <c r="F224" i="6"/>
  <c r="E224" i="6"/>
  <c r="I223" i="6"/>
  <c r="G223" i="6"/>
  <c r="F223" i="6"/>
  <c r="E223" i="6"/>
  <c r="G222" i="6"/>
  <c r="E222" i="6"/>
  <c r="I217" i="6"/>
  <c r="G217" i="6"/>
  <c r="F217" i="6"/>
  <c r="E217" i="6"/>
  <c r="I216" i="6"/>
  <c r="H216" i="6"/>
  <c r="G216" i="6"/>
  <c r="F216" i="6"/>
  <c r="E216" i="6"/>
  <c r="G215" i="6"/>
  <c r="F215" i="6"/>
  <c r="E215" i="6"/>
  <c r="I210" i="6"/>
  <c r="G210" i="6"/>
  <c r="F210" i="6"/>
  <c r="E210" i="6"/>
  <c r="I209" i="6"/>
  <c r="H209" i="6"/>
  <c r="G209" i="6"/>
  <c r="F209" i="6"/>
  <c r="E209" i="6"/>
  <c r="G208" i="6"/>
  <c r="F208" i="6"/>
  <c r="E208" i="6"/>
  <c r="I203" i="6"/>
  <c r="G203" i="6"/>
  <c r="F203" i="6"/>
  <c r="E203" i="6"/>
  <c r="I202" i="6"/>
  <c r="H202" i="6"/>
  <c r="G202" i="6"/>
  <c r="F202" i="6"/>
  <c r="E202" i="6"/>
  <c r="G201" i="6"/>
  <c r="F201" i="6"/>
  <c r="E201" i="6"/>
  <c r="G200" i="6"/>
  <c r="E200" i="6"/>
  <c r="G199" i="6"/>
  <c r="E199" i="6"/>
  <c r="I194" i="6"/>
  <c r="G194" i="6"/>
  <c r="F194" i="6"/>
  <c r="E194" i="6"/>
  <c r="I189" i="6"/>
  <c r="G189" i="6"/>
  <c r="F189" i="6"/>
  <c r="E189" i="6"/>
  <c r="I188" i="6"/>
  <c r="H188" i="6"/>
  <c r="G188" i="6"/>
  <c r="F188" i="6"/>
  <c r="E188" i="6"/>
  <c r="I183" i="6"/>
  <c r="H183" i="6"/>
  <c r="G183" i="6"/>
  <c r="F183" i="6"/>
  <c r="E183" i="6"/>
  <c r="I182" i="6"/>
  <c r="H182" i="6"/>
  <c r="G182" i="6"/>
  <c r="F182" i="6"/>
  <c r="E182" i="6"/>
  <c r="G181" i="6"/>
  <c r="F181" i="6"/>
  <c r="E181" i="6"/>
  <c r="I176" i="6"/>
  <c r="H176" i="6"/>
  <c r="G176" i="6"/>
  <c r="F176" i="6"/>
  <c r="E176" i="6"/>
  <c r="G175" i="6"/>
  <c r="F175" i="6"/>
  <c r="E175" i="6"/>
  <c r="G169" i="6"/>
  <c r="F169" i="6"/>
  <c r="E169" i="6"/>
  <c r="G168" i="6"/>
  <c r="E168"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H107" i="6"/>
  <c r="G107" i="6"/>
  <c r="F107" i="6"/>
  <c r="E107" i="6"/>
  <c r="I106" i="6"/>
  <c r="H106" i="6"/>
  <c r="G106" i="6"/>
  <c r="F106" i="6"/>
  <c r="E106" i="6"/>
  <c r="H101" i="6"/>
  <c r="G101" i="6"/>
  <c r="F101" i="6"/>
  <c r="E101" i="6"/>
  <c r="I100" i="6"/>
  <c r="H100" i="6"/>
  <c r="G100" i="6"/>
  <c r="F100" i="6"/>
  <c r="E100" i="6"/>
  <c r="I99" i="6"/>
  <c r="G99" i="6"/>
  <c r="F99" i="6"/>
  <c r="E99" i="6"/>
  <c r="H94" i="6"/>
  <c r="G94" i="6"/>
  <c r="F94" i="6"/>
  <c r="E94" i="6"/>
  <c r="I93" i="6"/>
  <c r="H93" i="6"/>
  <c r="G93" i="6"/>
  <c r="F93" i="6"/>
  <c r="E93" i="6"/>
  <c r="I92" i="6"/>
  <c r="H92" i="6"/>
  <c r="G92" i="6"/>
  <c r="F92" i="6"/>
  <c r="E92" i="6"/>
  <c r="H87" i="6"/>
  <c r="G87" i="6"/>
  <c r="F87" i="6"/>
  <c r="E87" i="6"/>
  <c r="I86" i="6"/>
  <c r="H86" i="6"/>
  <c r="G86" i="6"/>
  <c r="F86" i="6"/>
  <c r="E86" i="6"/>
  <c r="H81" i="6"/>
  <c r="G81" i="6"/>
  <c r="F81" i="6"/>
  <c r="E81" i="6"/>
  <c r="I80" i="6"/>
  <c r="H80" i="6"/>
  <c r="G80" i="6"/>
  <c r="F80" i="6"/>
  <c r="E80" i="6"/>
  <c r="I79" i="6"/>
  <c r="G79" i="6"/>
  <c r="F79" i="6"/>
  <c r="E79" i="6"/>
  <c r="H74" i="6"/>
  <c r="G74" i="6"/>
  <c r="F74" i="6"/>
  <c r="E74" i="6"/>
  <c r="I73" i="6"/>
  <c r="H73" i="6"/>
  <c r="G73" i="6"/>
  <c r="F73" i="6"/>
  <c r="E73" i="6"/>
  <c r="I72" i="6"/>
  <c r="H72" i="6"/>
  <c r="G72" i="6"/>
  <c r="F72" i="6"/>
  <c r="E72" i="6"/>
  <c r="H67" i="6"/>
  <c r="G67" i="6"/>
  <c r="F67" i="6"/>
  <c r="E67" i="6"/>
  <c r="I66" i="6"/>
  <c r="H66" i="6"/>
  <c r="G66" i="6"/>
  <c r="F66" i="6"/>
  <c r="E66" i="6"/>
  <c r="H61" i="6"/>
  <c r="G61" i="6"/>
  <c r="F61" i="6"/>
  <c r="E61" i="6"/>
  <c r="I60" i="6"/>
  <c r="H60" i="6"/>
  <c r="G60" i="6"/>
  <c r="F60" i="6"/>
  <c r="E60" i="6"/>
  <c r="I59" i="6"/>
  <c r="G59" i="6"/>
  <c r="F59" i="6"/>
  <c r="E59" i="6"/>
  <c r="H54" i="6"/>
  <c r="G54" i="6"/>
  <c r="F54" i="6"/>
  <c r="E54" i="6"/>
  <c r="I53" i="6"/>
  <c r="H53" i="6"/>
  <c r="G53" i="6"/>
  <c r="F53" i="6"/>
  <c r="E53" i="6"/>
  <c r="I52" i="6"/>
  <c r="H52" i="6"/>
  <c r="G52" i="6"/>
  <c r="F52" i="6"/>
  <c r="E52" i="6"/>
  <c r="H47" i="6"/>
  <c r="G47" i="6"/>
  <c r="F47" i="6"/>
  <c r="E47" i="6"/>
  <c r="I46" i="6"/>
  <c r="H46" i="6"/>
  <c r="G46" i="6"/>
  <c r="F46" i="6"/>
  <c r="E46" i="6"/>
  <c r="H41" i="6"/>
  <c r="G41" i="6"/>
  <c r="F41" i="6"/>
  <c r="E41" i="6"/>
  <c r="I40" i="6"/>
  <c r="H40" i="6"/>
  <c r="G40" i="6"/>
  <c r="F40" i="6"/>
  <c r="E40" i="6"/>
  <c r="I39" i="6"/>
  <c r="G39" i="6"/>
  <c r="F39" i="6"/>
  <c r="E39" i="6"/>
  <c r="H34" i="6"/>
  <c r="G34" i="6"/>
  <c r="F34" i="6"/>
  <c r="E34" i="6"/>
  <c r="I33" i="6"/>
  <c r="H33" i="6"/>
  <c r="G33" i="6"/>
  <c r="F33" i="6"/>
  <c r="E33" i="6"/>
  <c r="I32" i="6"/>
  <c r="H32" i="6"/>
  <c r="G32" i="6"/>
  <c r="F32" i="6"/>
  <c r="E32" i="6"/>
  <c r="J28" i="6"/>
  <c r="J4" i="4" s="1"/>
  <c r="I23" i="6"/>
  <c r="H23" i="6"/>
  <c r="G23" i="6"/>
  <c r="F23" i="6"/>
  <c r="E23" i="6"/>
  <c r="I18" i="6"/>
  <c r="H18" i="6"/>
  <c r="G18" i="6"/>
  <c r="F18" i="6"/>
  <c r="E18" i="6"/>
  <c r="G17" i="6"/>
  <c r="F17" i="6"/>
  <c r="E17" i="6"/>
  <c r="I11" i="6"/>
  <c r="H11" i="6"/>
  <c r="G11" i="6"/>
  <c r="F11" i="6"/>
  <c r="E11" i="6"/>
  <c r="G10" i="6"/>
  <c r="F10" i="6"/>
  <c r="E10" i="6"/>
  <c r="G9" i="6"/>
  <c r="F9" i="6"/>
  <c r="E9" i="6"/>
  <c r="F1" i="6"/>
  <c r="A1" i="6"/>
  <c r="F1" i="5"/>
  <c r="A1" i="5"/>
  <c r="H11" i="10"/>
  <c r="H30" i="12"/>
  <c r="H38" i="12"/>
  <c r="F1" i="4"/>
  <c r="F95" i="3"/>
  <c r="F289" i="6" s="1"/>
  <c r="F89" i="3"/>
  <c r="F45" i="20" s="1"/>
  <c r="F86" i="3"/>
  <c r="F42" i="19" s="1"/>
  <c r="F44" i="19" s="1"/>
  <c r="F35" i="19" s="1"/>
  <c r="F85" i="3"/>
  <c r="I85" i="3" s="1"/>
  <c r="F84" i="3"/>
  <c r="F10" i="14" s="1"/>
  <c r="F83" i="3"/>
  <c r="F281" i="6" s="1"/>
  <c r="F77" i="3"/>
  <c r="F26" i="18" s="1"/>
  <c r="F76" i="3"/>
  <c r="F52" i="18" s="1"/>
  <c r="F75" i="3"/>
  <c r="F247" i="6" s="1"/>
  <c r="F74" i="3"/>
  <c r="F248" i="6" s="1"/>
  <c r="F71" i="3"/>
  <c r="F19" i="17" s="1"/>
  <c r="F67" i="3"/>
  <c r="F232" i="6" s="1"/>
  <c r="F63" i="3"/>
  <c r="F51" i="16" s="1"/>
  <c r="F62" i="3"/>
  <c r="F18" i="16" s="1"/>
  <c r="F61" i="3"/>
  <c r="F240" i="6" s="1"/>
  <c r="F53" i="3"/>
  <c r="F34" i="9" s="1"/>
  <c r="I38" i="9" s="1"/>
  <c r="F52" i="3"/>
  <c r="F26" i="15" s="1"/>
  <c r="F51" i="3"/>
  <c r="F39" i="15" s="1"/>
  <c r="F50" i="3"/>
  <c r="F18" i="13" s="1"/>
  <c r="F49" i="3"/>
  <c r="F22" i="11" s="1"/>
  <c r="F45" i="3"/>
  <c r="F27" i="19" s="1"/>
  <c r="F42" i="3"/>
  <c r="F68" i="12" s="1"/>
  <c r="F41" i="3"/>
  <c r="F58" i="12" s="1"/>
  <c r="I65" i="12" s="1"/>
  <c r="F40" i="3"/>
  <c r="F45" i="12" s="1"/>
  <c r="I50" i="12" s="1"/>
  <c r="F39" i="3"/>
  <c r="F10" i="13" s="1"/>
  <c r="F35" i="3"/>
  <c r="F23" i="12" s="1"/>
  <c r="F33" i="3"/>
  <c r="I33" i="3" s="1"/>
  <c r="F32" i="3"/>
  <c r="F12" i="15" s="1"/>
  <c r="F31" i="3"/>
  <c r="F22" i="12" s="1"/>
  <c r="F28" i="3"/>
  <c r="F24" i="14" s="1"/>
  <c r="F27" i="3"/>
  <c r="F200" i="6" s="1"/>
  <c r="F25" i="3"/>
  <c r="F17" i="14" s="1"/>
  <c r="F21" i="3"/>
  <c r="I21" i="3" s="1"/>
  <c r="F20" i="3"/>
  <c r="F19" i="3"/>
  <c r="I19" i="3" s="1"/>
  <c r="F18" i="3"/>
  <c r="F18" i="10" s="1"/>
  <c r="F17" i="3"/>
  <c r="F138" i="6" s="1"/>
  <c r="F15" i="3"/>
  <c r="F9" i="10" s="1"/>
  <c r="F6" i="3"/>
  <c r="I6" i="3" s="1"/>
  <c r="F64" i="3" s="1"/>
  <c r="F90" i="3"/>
  <c r="F31" i="20" s="1"/>
  <c r="F3" i="3"/>
  <c r="K2" i="3" s="1"/>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I81" i="6" l="1"/>
  <c r="I87" i="6"/>
  <c r="I74" i="6"/>
  <c r="I47" i="6"/>
  <c r="I34" i="6"/>
  <c r="I41" i="6"/>
  <c r="I67" i="6"/>
  <c r="I54" i="6"/>
  <c r="I61" i="6"/>
  <c r="I101" i="6"/>
  <c r="I107" i="6"/>
  <c r="I94" i="6"/>
  <c r="I91" i="3"/>
  <c r="K11" i="44"/>
  <c r="L2" i="3"/>
  <c r="I20" i="3"/>
  <c r="I32" i="3"/>
  <c r="I42" i="3"/>
  <c r="I52" i="3"/>
  <c r="I64" i="3"/>
  <c r="I76" i="3"/>
  <c r="I86" i="3"/>
  <c r="M2" i="3"/>
  <c r="I45" i="3"/>
  <c r="I53" i="3"/>
  <c r="I67" i="3"/>
  <c r="I77" i="3"/>
  <c r="I89" i="3"/>
  <c r="K13" i="44"/>
  <c r="I90" i="3"/>
  <c r="I15" i="3"/>
  <c r="I25" i="3"/>
  <c r="I35" i="3"/>
  <c r="I17" i="3"/>
  <c r="I27" i="3"/>
  <c r="I39" i="3"/>
  <c r="I49" i="3"/>
  <c r="I61" i="3"/>
  <c r="I71" i="3"/>
  <c r="I83" i="3"/>
  <c r="I95" i="3"/>
  <c r="I18" i="3"/>
  <c r="I28" i="3"/>
  <c r="I40" i="3"/>
  <c r="I50" i="3"/>
  <c r="I62" i="3"/>
  <c r="I74" i="3"/>
  <c r="I84" i="3"/>
  <c r="I31" i="3"/>
  <c r="I41" i="3"/>
  <c r="I51" i="3"/>
  <c r="I63" i="3"/>
  <c r="I75" i="3"/>
  <c r="F9" i="16"/>
  <c r="I15" i="16" s="1"/>
  <c r="J4" i="40"/>
  <c r="J4" i="37"/>
  <c r="J4" i="34"/>
  <c r="J4" i="31"/>
  <c r="J4" i="28"/>
  <c r="J10" i="21"/>
  <c r="J4" i="22"/>
  <c r="J4" i="21"/>
  <c r="J32" i="20"/>
  <c r="J36" i="20" s="1"/>
  <c r="K33" i="20" s="1"/>
  <c r="K26" i="20" s="1"/>
  <c r="J74" i="20"/>
  <c r="J37" i="19"/>
  <c r="J4" i="20"/>
  <c r="J28" i="19"/>
  <c r="J10" i="18"/>
  <c r="J4" i="19"/>
  <c r="J4" i="17"/>
  <c r="J4" i="18"/>
  <c r="J4" i="16"/>
  <c r="J10" i="17"/>
  <c r="J10" i="16"/>
  <c r="J27" i="15"/>
  <c r="J40" i="15"/>
  <c r="J4" i="15"/>
  <c r="J4" i="14"/>
  <c r="J27" i="13"/>
  <c r="J82" i="12"/>
  <c r="J69" i="12"/>
  <c r="J4" i="13"/>
  <c r="J59" i="12"/>
  <c r="J19" i="13"/>
  <c r="J46" i="12"/>
  <c r="J23" i="11"/>
  <c r="J4" i="11"/>
  <c r="J19" i="10"/>
  <c r="J12" i="10"/>
  <c r="J4" i="10"/>
  <c r="J4" i="12"/>
  <c r="J4" i="9"/>
  <c r="J346" i="6"/>
  <c r="J347" i="6" s="1"/>
  <c r="J296" i="6"/>
  <c r="J297" i="6" s="1"/>
  <c r="J35" i="9"/>
  <c r="J259" i="6"/>
  <c r="J336" i="6"/>
  <c r="J337" i="6" s="1"/>
  <c r="J275" i="6"/>
  <c r="J10" i="9"/>
  <c r="J4" i="7"/>
  <c r="J351" i="6"/>
  <c r="J352" i="6" s="1"/>
  <c r="J301" i="6"/>
  <c r="J302" i="6" s="1"/>
  <c r="J320" i="6"/>
  <c r="J4" i="8"/>
  <c r="J312" i="6"/>
  <c r="J314" i="6" s="1"/>
  <c r="J126" i="6"/>
  <c r="J100" i="6"/>
  <c r="J46" i="6"/>
  <c r="J202" i="6"/>
  <c r="J106" i="6"/>
  <c r="J53" i="6"/>
  <c r="J23" i="6"/>
  <c r="J24" i="6" s="1"/>
  <c r="J3" i="4" s="1"/>
  <c r="J188" i="6"/>
  <c r="J60" i="6"/>
  <c r="J66" i="6"/>
  <c r="J73" i="6"/>
  <c r="J80" i="6"/>
  <c r="J140" i="6"/>
  <c r="J86" i="6"/>
  <c r="J33" i="6"/>
  <c r="K28" i="6"/>
  <c r="K4" i="4" s="1"/>
  <c r="F16" i="11"/>
  <c r="F39" i="10"/>
  <c r="F10" i="11"/>
  <c r="F47" i="3"/>
  <c r="F9" i="21" s="1"/>
  <c r="F57" i="3"/>
  <c r="I57" i="3" s="1"/>
  <c r="F69" i="3"/>
  <c r="F9" i="17" s="1"/>
  <c r="I15" i="17" s="1"/>
  <c r="F79" i="3"/>
  <c r="F9" i="18" s="1"/>
  <c r="I15" i="18" s="1"/>
  <c r="F91" i="3"/>
  <c r="F52" i="20" s="1"/>
  <c r="H28" i="35"/>
  <c r="H28" i="34"/>
  <c r="H28" i="36"/>
  <c r="H12" i="21"/>
  <c r="H28" i="25"/>
  <c r="J331" i="6"/>
  <c r="J332" i="6" s="1"/>
  <c r="F26" i="17"/>
  <c r="J28" i="17" s="1"/>
  <c r="F10" i="15"/>
  <c r="F37" i="12"/>
  <c r="I25" i="33"/>
  <c r="I25" i="32"/>
  <c r="I25" i="31"/>
  <c r="I25" i="24"/>
  <c r="I28" i="9"/>
  <c r="J36" i="9"/>
  <c r="F15" i="12"/>
  <c r="J18" i="12" s="1"/>
  <c r="F40" i="10"/>
  <c r="F16" i="3"/>
  <c r="I16" i="3" s="1"/>
  <c r="F26" i="3"/>
  <c r="F38" i="3"/>
  <c r="F48" i="3"/>
  <c r="F60" i="3"/>
  <c r="F70" i="3"/>
  <c r="F82" i="3"/>
  <c r="I82" i="3" s="1"/>
  <c r="F92" i="3"/>
  <c r="J93" i="6"/>
  <c r="F25" i="16"/>
  <c r="J27" i="16" s="1"/>
  <c r="F19" i="15"/>
  <c r="J22" i="15" s="1"/>
  <c r="I15" i="39"/>
  <c r="I15" i="38"/>
  <c r="I15" i="37"/>
  <c r="I15" i="26"/>
  <c r="J60" i="12"/>
  <c r="J27" i="10" s="1"/>
  <c r="J4" i="6"/>
  <c r="J11" i="6"/>
  <c r="J12" i="6" s="1"/>
  <c r="I12" i="39"/>
  <c r="I12" i="38"/>
  <c r="I12" i="37"/>
  <c r="I12" i="26"/>
  <c r="I12" i="13"/>
  <c r="J47" i="12"/>
  <c r="J25" i="12" s="1"/>
  <c r="F15" i="19"/>
  <c r="F9" i="14"/>
  <c r="F9" i="15"/>
  <c r="F9" i="12"/>
  <c r="F14" i="3"/>
  <c r="F22" i="3"/>
  <c r="F34" i="3"/>
  <c r="I34" i="3" s="1"/>
  <c r="F46" i="3"/>
  <c r="F56" i="3"/>
  <c r="I56" i="3" s="1"/>
  <c r="F68" i="3"/>
  <c r="F78" i="3"/>
  <c r="J40" i="6"/>
  <c r="I27" i="11"/>
  <c r="I24" i="10"/>
  <c r="I73" i="12"/>
  <c r="E13" i="30"/>
  <c r="E13" i="29"/>
  <c r="E13" i="28"/>
  <c r="E13" i="23"/>
  <c r="I23" i="13"/>
  <c r="G13" i="30"/>
  <c r="G13" i="29"/>
  <c r="G13" i="28"/>
  <c r="G13" i="23"/>
  <c r="E9" i="33"/>
  <c r="E9" i="32"/>
  <c r="E9" i="31"/>
  <c r="E9" i="24"/>
  <c r="G9" i="33"/>
  <c r="G9" i="32"/>
  <c r="G9" i="31"/>
  <c r="G9" i="24"/>
  <c r="I45" i="15"/>
  <c r="E10" i="30"/>
  <c r="E10" i="29"/>
  <c r="E10" i="28"/>
  <c r="E10" i="23"/>
  <c r="E9" i="30"/>
  <c r="E9" i="29"/>
  <c r="E9" i="28"/>
  <c r="E9" i="23"/>
  <c r="E14" i="35"/>
  <c r="E14" i="36"/>
  <c r="E14" i="34"/>
  <c r="E14" i="25"/>
  <c r="I36" i="15"/>
  <c r="G10" i="30"/>
  <c r="G10" i="28"/>
  <c r="G10" i="29"/>
  <c r="G10" i="23"/>
  <c r="G9" i="29"/>
  <c r="G9" i="30"/>
  <c r="G9" i="28"/>
  <c r="G9" i="23"/>
  <c r="G14" i="36"/>
  <c r="G14" i="34"/>
  <c r="G14" i="35"/>
  <c r="G14" i="25"/>
  <c r="E9" i="36"/>
  <c r="E9" i="35"/>
  <c r="E9" i="34"/>
  <c r="E9" i="25"/>
  <c r="G9" i="36"/>
  <c r="G9" i="34"/>
  <c r="G9" i="35"/>
  <c r="G9" i="25"/>
  <c r="E20" i="35"/>
  <c r="E20" i="36"/>
  <c r="E20" i="34"/>
  <c r="E20" i="25"/>
  <c r="E24" i="36"/>
  <c r="E24" i="35"/>
  <c r="E24" i="34"/>
  <c r="E24" i="25"/>
  <c r="G20" i="36"/>
  <c r="G20" i="34"/>
  <c r="G20" i="35"/>
  <c r="G20" i="25"/>
  <c r="G24" i="36"/>
  <c r="G24" i="35"/>
  <c r="G24" i="34"/>
  <c r="G24" i="25"/>
  <c r="G23" i="36"/>
  <c r="G23" i="35"/>
  <c r="G23" i="34"/>
  <c r="G23" i="25"/>
  <c r="E17" i="30"/>
  <c r="E17" i="29"/>
  <c r="E17" i="28"/>
  <c r="E17" i="23"/>
  <c r="G17" i="30"/>
  <c r="G17" i="29"/>
  <c r="G17" i="28"/>
  <c r="G17" i="23"/>
  <c r="E16" i="29"/>
  <c r="E16" i="30"/>
  <c r="E16" i="28"/>
  <c r="E16" i="23"/>
  <c r="G10" i="36"/>
  <c r="G10" i="35"/>
  <c r="G10" i="34"/>
  <c r="G10" i="25"/>
  <c r="E18" i="36"/>
  <c r="E18" i="35"/>
  <c r="E18" i="34"/>
  <c r="E18" i="25"/>
  <c r="G16" i="29"/>
  <c r="G16" i="30"/>
  <c r="G16" i="28"/>
  <c r="G16" i="23"/>
  <c r="E25" i="36"/>
  <c r="E25" i="35"/>
  <c r="E25" i="34"/>
  <c r="E25" i="25"/>
  <c r="G21" i="29"/>
  <c r="G21" i="30"/>
  <c r="G21" i="28"/>
  <c r="G21" i="23"/>
  <c r="G18" i="36"/>
  <c r="G18" i="35"/>
  <c r="G18" i="34"/>
  <c r="G18" i="25"/>
  <c r="G25" i="36"/>
  <c r="G25" i="35"/>
  <c r="G25" i="34"/>
  <c r="G25" i="25"/>
  <c r="E18" i="30"/>
  <c r="E18" i="29"/>
  <c r="E18" i="28"/>
  <c r="E18" i="23"/>
  <c r="E22" i="36"/>
  <c r="E22" i="35"/>
  <c r="E22" i="34"/>
  <c r="E22" i="25"/>
  <c r="G18" i="30"/>
  <c r="G18" i="28"/>
  <c r="G18" i="29"/>
  <c r="G18" i="23"/>
  <c r="G22" i="36"/>
  <c r="G22" i="35"/>
  <c r="G22" i="34"/>
  <c r="G22" i="25"/>
  <c r="E23" i="36"/>
  <c r="E23" i="35"/>
  <c r="E23" i="34"/>
  <c r="E23" i="25"/>
  <c r="I32" i="19"/>
  <c r="E10" i="36"/>
  <c r="E10" i="35"/>
  <c r="E10" i="34"/>
  <c r="E10" i="25"/>
  <c r="E21" i="29"/>
  <c r="E21" i="30"/>
  <c r="E21" i="28"/>
  <c r="E21" i="23"/>
  <c r="I13" i="21"/>
  <c r="I36" i="20"/>
  <c r="J33" i="20" s="1"/>
  <c r="J26" i="20" s="1"/>
  <c r="E11" i="35"/>
  <c r="E11" i="36"/>
  <c r="E11" i="34"/>
  <c r="E11" i="25"/>
  <c r="G11" i="35"/>
  <c r="G11" i="36"/>
  <c r="G11" i="34"/>
  <c r="G11" i="25"/>
  <c r="F231" i="6" l="1"/>
  <c r="I68" i="3"/>
  <c r="F222" i="6"/>
  <c r="I26" i="3"/>
  <c r="F73" i="20"/>
  <c r="I78" i="20" s="1"/>
  <c r="I92" i="3"/>
  <c r="F26" i="13"/>
  <c r="I31" i="13" s="1"/>
  <c r="J28" i="13" s="1"/>
  <c r="I46" i="3"/>
  <c r="F9" i="11"/>
  <c r="I22" i="3"/>
  <c r="F52" i="17"/>
  <c r="I70" i="3"/>
  <c r="I79" i="3"/>
  <c r="F33" i="10"/>
  <c r="J35" i="10" s="1"/>
  <c r="I14" i="3"/>
  <c r="F7" i="3" s="1"/>
  <c r="F239" i="6"/>
  <c r="I60" i="3"/>
  <c r="I69" i="3"/>
  <c r="F9" i="9"/>
  <c r="I13" i="9" s="1"/>
  <c r="I11" i="31" s="1"/>
  <c r="I48" i="3"/>
  <c r="F19" i="18"/>
  <c r="I78" i="3"/>
  <c r="F81" i="12"/>
  <c r="I85" i="12" s="1"/>
  <c r="J83" i="12" s="1"/>
  <c r="I38" i="3"/>
  <c r="I47" i="3"/>
  <c r="J14" i="16"/>
  <c r="J28" i="16"/>
  <c r="I20" i="33"/>
  <c r="I20" i="32"/>
  <c r="I20" i="31"/>
  <c r="J75" i="20"/>
  <c r="J66" i="20" s="1"/>
  <c r="I20" i="24"/>
  <c r="J14" i="17"/>
  <c r="J29" i="17"/>
  <c r="J8" i="34"/>
  <c r="J44" i="15"/>
  <c r="J14" i="37"/>
  <c r="J76" i="12"/>
  <c r="J77" i="12" s="1"/>
  <c r="J72" i="12"/>
  <c r="J64" i="12"/>
  <c r="I17" i="38"/>
  <c r="I17" i="39"/>
  <c r="I17" i="37"/>
  <c r="I17" i="26"/>
  <c r="J70" i="12"/>
  <c r="I17" i="11"/>
  <c r="F160" i="6"/>
  <c r="F168" i="6"/>
  <c r="F170" i="6" s="1"/>
  <c r="F10" i="10" s="1"/>
  <c r="F53" i="18"/>
  <c r="F53" i="17"/>
  <c r="F52" i="16"/>
  <c r="K4" i="40"/>
  <c r="K4" i="37"/>
  <c r="K4" i="34"/>
  <c r="K4" i="31"/>
  <c r="K74" i="20"/>
  <c r="K4" i="28"/>
  <c r="K4" i="22"/>
  <c r="K4" i="21"/>
  <c r="K10" i="21"/>
  <c r="K32" i="20"/>
  <c r="K4" i="20"/>
  <c r="K10" i="18"/>
  <c r="K4" i="19"/>
  <c r="K28" i="19"/>
  <c r="K28" i="17"/>
  <c r="K4" i="16"/>
  <c r="K4" i="17"/>
  <c r="K4" i="18"/>
  <c r="K10" i="17"/>
  <c r="K10" i="16"/>
  <c r="K4" i="15"/>
  <c r="K27" i="16"/>
  <c r="K27" i="15"/>
  <c r="K40" i="15"/>
  <c r="K4" i="14"/>
  <c r="K22" i="15"/>
  <c r="K27" i="13"/>
  <c r="K4" i="13"/>
  <c r="K59" i="12"/>
  <c r="K69" i="12"/>
  <c r="K18" i="12"/>
  <c r="K82" i="12"/>
  <c r="K19" i="13"/>
  <c r="K46" i="12"/>
  <c r="K4" i="11"/>
  <c r="K19" i="10"/>
  <c r="K12" i="10"/>
  <c r="K4" i="10"/>
  <c r="K4" i="12"/>
  <c r="K35" i="9"/>
  <c r="K259" i="6"/>
  <c r="K336" i="6"/>
  <c r="K337" i="6" s="1"/>
  <c r="K275" i="6"/>
  <c r="K10" i="9"/>
  <c r="K4" i="7"/>
  <c r="K351" i="6"/>
  <c r="K352" i="6" s="1"/>
  <c r="K301" i="6"/>
  <c r="K302" i="6" s="1"/>
  <c r="K320" i="6"/>
  <c r="K23" i="11"/>
  <c r="K4" i="8"/>
  <c r="K312" i="6"/>
  <c r="K331" i="6"/>
  <c r="K332" i="6" s="1"/>
  <c r="K188" i="6"/>
  <c r="K296" i="6"/>
  <c r="K297" i="6" s="1"/>
  <c r="K202" i="6"/>
  <c r="K106" i="6"/>
  <c r="K53" i="6"/>
  <c r="K60" i="6"/>
  <c r="K66" i="6"/>
  <c r="K4" i="9"/>
  <c r="K346" i="6"/>
  <c r="K347" i="6" s="1"/>
  <c r="K73" i="6"/>
  <c r="K80" i="6"/>
  <c r="K140" i="6"/>
  <c r="K86" i="6"/>
  <c r="K93" i="6"/>
  <c r="K40" i="6"/>
  <c r="L28" i="6"/>
  <c r="L4" i="4" s="1"/>
  <c r="K11" i="6"/>
  <c r="K12" i="6" s="1"/>
  <c r="K4" i="6"/>
  <c r="K46" i="6"/>
  <c r="K23" i="6"/>
  <c r="K24" i="6" s="1"/>
  <c r="K3" i="4" s="1"/>
  <c r="K100" i="6"/>
  <c r="K126" i="6"/>
  <c r="K33" i="6"/>
  <c r="J74" i="6"/>
  <c r="J81" i="6"/>
  <c r="J87" i="6"/>
  <c r="I15" i="32"/>
  <c r="I15" i="31"/>
  <c r="I15" i="33"/>
  <c r="I15" i="24"/>
  <c r="J28" i="15"/>
  <c r="I11" i="32"/>
  <c r="I11" i="24"/>
  <c r="I9" i="8"/>
  <c r="J3" i="40"/>
  <c r="J3" i="37"/>
  <c r="J3" i="34"/>
  <c r="J3" i="28"/>
  <c r="J3" i="31"/>
  <c r="J3" i="21"/>
  <c r="J3" i="22"/>
  <c r="J3" i="20"/>
  <c r="J3" i="18"/>
  <c r="J3" i="19"/>
  <c r="J3" i="17"/>
  <c r="J3" i="16"/>
  <c r="J3" i="14"/>
  <c r="J3" i="13"/>
  <c r="J3" i="15"/>
  <c r="J3" i="12"/>
  <c r="J3" i="11"/>
  <c r="J3" i="10"/>
  <c r="J3" i="8"/>
  <c r="J3" i="9"/>
  <c r="J99" i="6"/>
  <c r="J3" i="7"/>
  <c r="J59" i="6"/>
  <c r="J79" i="6"/>
  <c r="J39" i="6"/>
  <c r="J3" i="6"/>
  <c r="L35" i="10"/>
  <c r="I8" i="33"/>
  <c r="I8" i="32"/>
  <c r="I8" i="31"/>
  <c r="I8" i="24"/>
  <c r="J20" i="13"/>
  <c r="J11" i="13" s="1"/>
  <c r="J53" i="20"/>
  <c r="J54" i="20" s="1"/>
  <c r="J58" i="20" s="1"/>
  <c r="J59" i="20"/>
  <c r="J250" i="6"/>
  <c r="J234" i="6"/>
  <c r="J242" i="6"/>
  <c r="J290" i="6"/>
  <c r="J291" i="6" s="1"/>
  <c r="J283" i="6"/>
  <c r="J183" i="6"/>
  <c r="J121" i="6"/>
  <c r="J18" i="6"/>
  <c r="J19" i="6" s="1"/>
  <c r="J2" i="4" s="1"/>
  <c r="I14" i="33"/>
  <c r="I14" i="31"/>
  <c r="I14" i="32"/>
  <c r="I14" i="24"/>
  <c r="J24" i="11"/>
  <c r="I19" i="33"/>
  <c r="I19" i="32"/>
  <c r="I19" i="31"/>
  <c r="I19" i="24"/>
  <c r="J29" i="19"/>
  <c r="J48" i="19" s="1"/>
  <c r="F257" i="6"/>
  <c r="F265" i="6"/>
  <c r="I19" i="37"/>
  <c r="I18" i="33"/>
  <c r="I18" i="31"/>
  <c r="I18" i="32"/>
  <c r="I18" i="24"/>
  <c r="J11" i="18"/>
  <c r="J41" i="6"/>
  <c r="J34" i="6"/>
  <c r="J47" i="6"/>
  <c r="I10" i="39"/>
  <c r="I10" i="38"/>
  <c r="I10" i="37"/>
  <c r="I10" i="26"/>
  <c r="I24" i="12"/>
  <c r="J20" i="10"/>
  <c r="J28" i="10" s="1"/>
  <c r="J29" i="10" s="1"/>
  <c r="F54" i="18"/>
  <c r="F54" i="17"/>
  <c r="F53" i="16"/>
  <c r="I26" i="33"/>
  <c r="I26" i="31"/>
  <c r="I26" i="32"/>
  <c r="I26" i="24"/>
  <c r="J11" i="21"/>
  <c r="J13" i="21" s="1"/>
  <c r="I29" i="9"/>
  <c r="J107" i="6"/>
  <c r="J94" i="6"/>
  <c r="J101" i="6"/>
  <c r="J31" i="19"/>
  <c r="J38" i="19"/>
  <c r="I17" i="33"/>
  <c r="I17" i="32"/>
  <c r="I17" i="31"/>
  <c r="I17" i="24"/>
  <c r="J11" i="16"/>
  <c r="J39" i="16" s="1"/>
  <c r="I10" i="33"/>
  <c r="I10" i="32"/>
  <c r="I10" i="31"/>
  <c r="I10" i="24"/>
  <c r="J41" i="15"/>
  <c r="F18" i="18"/>
  <c r="F18" i="17"/>
  <c r="F11" i="15"/>
  <c r="F9" i="13"/>
  <c r="F16" i="9"/>
  <c r="I16" i="33"/>
  <c r="I16" i="32"/>
  <c r="I16" i="31"/>
  <c r="I16" i="24"/>
  <c r="J11" i="17"/>
  <c r="J40" i="17" s="1"/>
  <c r="I19" i="26" l="1"/>
  <c r="K35" i="10"/>
  <c r="K17" i="12" s="1"/>
  <c r="I11" i="33"/>
  <c r="I19" i="38"/>
  <c r="I19" i="39"/>
  <c r="J11" i="9"/>
  <c r="F55" i="17"/>
  <c r="F39" i="17" s="1"/>
  <c r="J53" i="12"/>
  <c r="J54" i="12" s="1"/>
  <c r="J11" i="11"/>
  <c r="J12" i="11" s="1"/>
  <c r="J23" i="10"/>
  <c r="J41" i="17"/>
  <c r="J26" i="31"/>
  <c r="K11" i="21"/>
  <c r="J29" i="9"/>
  <c r="J9" i="37"/>
  <c r="J17" i="12"/>
  <c r="J22" i="10"/>
  <c r="J42" i="10"/>
  <c r="K9" i="37"/>
  <c r="K42" i="10"/>
  <c r="L9" i="37"/>
  <c r="L17" i="12"/>
  <c r="L22" i="10"/>
  <c r="L42" i="10"/>
  <c r="K13" i="21"/>
  <c r="J18" i="37"/>
  <c r="J62" i="12"/>
  <c r="J22" i="13"/>
  <c r="J30" i="13"/>
  <c r="J84" i="12"/>
  <c r="J85" i="12" s="1"/>
  <c r="K47" i="6"/>
  <c r="K34" i="6"/>
  <c r="K41" i="6"/>
  <c r="K14" i="37"/>
  <c r="K76" i="12"/>
  <c r="K77" i="12" s="1"/>
  <c r="K64" i="12"/>
  <c r="K72" i="12"/>
  <c r="K14" i="17"/>
  <c r="K29" i="17"/>
  <c r="F54" i="16"/>
  <c r="F38" i="16" s="1"/>
  <c r="K94" i="6"/>
  <c r="K101" i="6"/>
  <c r="K107" i="6"/>
  <c r="K28" i="16"/>
  <c r="K20" i="34" s="1"/>
  <c r="K14" i="16"/>
  <c r="J18" i="34"/>
  <c r="K59" i="20"/>
  <c r="K53" i="20"/>
  <c r="K54" i="20" s="1"/>
  <c r="K58" i="20" s="1"/>
  <c r="K234" i="6"/>
  <c r="K242" i="6"/>
  <c r="K290" i="6"/>
  <c r="K291" i="6" s="1"/>
  <c r="K283" i="6"/>
  <c r="K250" i="6"/>
  <c r="K183" i="6"/>
  <c r="K121" i="6"/>
  <c r="K18" i="6"/>
  <c r="K19" i="6" s="1"/>
  <c r="K2" i="4" s="1"/>
  <c r="F55" i="18"/>
  <c r="F39" i="18" s="1"/>
  <c r="J2" i="37"/>
  <c r="J2" i="40"/>
  <c r="J2" i="34"/>
  <c r="J2" i="31"/>
  <c r="J2" i="28"/>
  <c r="J2" i="22"/>
  <c r="J2" i="21"/>
  <c r="J60" i="20"/>
  <c r="J61" i="20" s="1"/>
  <c r="J2" i="20"/>
  <c r="J2" i="19"/>
  <c r="J2" i="18"/>
  <c r="J2" i="17"/>
  <c r="J2" i="16"/>
  <c r="J2" i="15"/>
  <c r="J2" i="14"/>
  <c r="J2" i="13"/>
  <c r="J2" i="11"/>
  <c r="J2" i="10"/>
  <c r="J2" i="12"/>
  <c r="J282" i="6"/>
  <c r="J284" i="6" s="1"/>
  <c r="J249" i="6"/>
  <c r="J251" i="6" s="1"/>
  <c r="J2" i="9"/>
  <c r="J2" i="7"/>
  <c r="J233" i="6"/>
  <c r="J235" i="6" s="1"/>
  <c r="J209" i="6"/>
  <c r="J319" i="6"/>
  <c r="J321" i="6" s="1"/>
  <c r="J313" i="6"/>
  <c r="J241" i="6"/>
  <c r="J243" i="6" s="1"/>
  <c r="J182" i="6"/>
  <c r="J184" i="6" s="1"/>
  <c r="J114" i="6"/>
  <c r="J115" i="6" s="1"/>
  <c r="J92" i="6"/>
  <c r="J52" i="6"/>
  <c r="J2" i="8"/>
  <c r="J176" i="6"/>
  <c r="J177" i="6" s="1"/>
  <c r="J147" i="6"/>
  <c r="J72" i="6"/>
  <c r="J120" i="6"/>
  <c r="J122" i="6" s="1"/>
  <c r="J32" i="6"/>
  <c r="J2" i="6"/>
  <c r="J10" i="34"/>
  <c r="J27" i="18"/>
  <c r="J28" i="18" s="1"/>
  <c r="J40" i="18"/>
  <c r="L4" i="40"/>
  <c r="L4" i="37"/>
  <c r="L4" i="34"/>
  <c r="L4" i="31"/>
  <c r="L4" i="28"/>
  <c r="L4" i="22"/>
  <c r="L10" i="21"/>
  <c r="L74" i="20"/>
  <c r="L32" i="20"/>
  <c r="L4" i="21"/>
  <c r="L4" i="20"/>
  <c r="L28" i="19"/>
  <c r="L4" i="19"/>
  <c r="L4" i="18"/>
  <c r="L10" i="18"/>
  <c r="L4" i="17"/>
  <c r="L28" i="17"/>
  <c r="L10" i="17"/>
  <c r="L10" i="16"/>
  <c r="L4" i="16"/>
  <c r="L27" i="15"/>
  <c r="L40" i="15"/>
  <c r="L4" i="14"/>
  <c r="L19" i="13"/>
  <c r="L4" i="13"/>
  <c r="L59" i="12"/>
  <c r="L69" i="12"/>
  <c r="L82" i="12"/>
  <c r="L4" i="15"/>
  <c r="L27" i="13"/>
  <c r="L46" i="12"/>
  <c r="L12" i="10"/>
  <c r="L4" i="10"/>
  <c r="L4" i="9"/>
  <c r="L4" i="12"/>
  <c r="L35" i="9"/>
  <c r="L18" i="12"/>
  <c r="L10" i="9"/>
  <c r="L23" i="11"/>
  <c r="L4" i="11"/>
  <c r="L336" i="6"/>
  <c r="L337" i="6" s="1"/>
  <c r="L275" i="6"/>
  <c r="L19" i="10"/>
  <c r="L4" i="7"/>
  <c r="L351" i="6"/>
  <c r="L352" i="6" s="1"/>
  <c r="L301" i="6"/>
  <c r="L302" i="6" s="1"/>
  <c r="L320" i="6"/>
  <c r="L4" i="8"/>
  <c r="L202" i="6"/>
  <c r="L312" i="6"/>
  <c r="L331" i="6"/>
  <c r="L332" i="6" s="1"/>
  <c r="L346" i="6"/>
  <c r="L347" i="6" s="1"/>
  <c r="L296" i="6"/>
  <c r="L297" i="6" s="1"/>
  <c r="L60" i="6"/>
  <c r="L188" i="6"/>
  <c r="L66" i="6"/>
  <c r="L73" i="6"/>
  <c r="L80" i="6"/>
  <c r="L140" i="6"/>
  <c r="L86" i="6"/>
  <c r="L93" i="6"/>
  <c r="L126" i="6"/>
  <c r="L100" i="6"/>
  <c r="L46" i="6"/>
  <c r="L23" i="6"/>
  <c r="L24" i="6" s="1"/>
  <c r="L3" i="4" s="1"/>
  <c r="L106" i="6"/>
  <c r="L53" i="6"/>
  <c r="L259" i="6"/>
  <c r="M28" i="6"/>
  <c r="M4" i="4" s="1"/>
  <c r="L4" i="6"/>
  <c r="L33" i="6"/>
  <c r="L40" i="6"/>
  <c r="L11" i="6"/>
  <c r="L12" i="6" s="1"/>
  <c r="J20" i="34"/>
  <c r="K3" i="40"/>
  <c r="K3" i="37"/>
  <c r="K3" i="34"/>
  <c r="K3" i="31"/>
  <c r="K3" i="28"/>
  <c r="K3" i="22"/>
  <c r="K3" i="21"/>
  <c r="K3" i="20"/>
  <c r="K3" i="18"/>
  <c r="K3" i="19"/>
  <c r="K3" i="17"/>
  <c r="K3" i="16"/>
  <c r="K3" i="15"/>
  <c r="K3" i="14"/>
  <c r="K3" i="13"/>
  <c r="K3" i="12"/>
  <c r="K3" i="11"/>
  <c r="K3" i="10"/>
  <c r="K3" i="8"/>
  <c r="K3" i="9"/>
  <c r="K3" i="7"/>
  <c r="K99" i="6"/>
  <c r="K59" i="6"/>
  <c r="K79" i="6"/>
  <c r="K39" i="6"/>
  <c r="K3" i="6"/>
  <c r="K314" i="6"/>
  <c r="J40" i="12"/>
  <c r="J41" i="12" s="1"/>
  <c r="J32" i="12"/>
  <c r="J33" i="12" s="1"/>
  <c r="J13" i="10"/>
  <c r="J14" i="10" s="1"/>
  <c r="K74" i="6"/>
  <c r="K81" i="6"/>
  <c r="K87" i="6"/>
  <c r="K8" i="34"/>
  <c r="K44" i="15"/>
  <c r="K22" i="10" l="1"/>
  <c r="J67" i="20"/>
  <c r="J68" i="20" s="1"/>
  <c r="J19" i="37"/>
  <c r="K83" i="12"/>
  <c r="J162" i="6"/>
  <c r="J141" i="6"/>
  <c r="K18" i="37"/>
  <c r="K22" i="13"/>
  <c r="K30" i="13"/>
  <c r="K84" i="12"/>
  <c r="K62" i="12"/>
  <c r="J21" i="18"/>
  <c r="J11" i="37"/>
  <c r="J20" i="17"/>
  <c r="J13" i="15"/>
  <c r="J14" i="15" s="1"/>
  <c r="J21" i="13"/>
  <c r="J23" i="13" s="1"/>
  <c r="J39" i="12"/>
  <c r="J48" i="12"/>
  <c r="J17" i="9"/>
  <c r="J18" i="9" s="1"/>
  <c r="J20" i="16"/>
  <c r="J276" i="6"/>
  <c r="J277" i="6" s="1"/>
  <c r="J16" i="19"/>
  <c r="J17" i="19" s="1"/>
  <c r="J42" i="15"/>
  <c r="J20" i="15"/>
  <c r="J25" i="11"/>
  <c r="L29" i="17"/>
  <c r="L18" i="34" s="1"/>
  <c r="L14" i="17"/>
  <c r="K32" i="12"/>
  <c r="K33" i="12" s="1"/>
  <c r="K40" i="12"/>
  <c r="K41" i="12" s="1"/>
  <c r="K13" i="10"/>
  <c r="K14" i="10" s="1"/>
  <c r="K18" i="34"/>
  <c r="J46" i="17"/>
  <c r="J47" i="17" s="1"/>
  <c r="J42" i="17"/>
  <c r="J33" i="17"/>
  <c r="J16" i="37"/>
  <c r="J71" i="12"/>
  <c r="J73" i="12" s="1"/>
  <c r="J63" i="12"/>
  <c r="J8" i="37"/>
  <c r="J34" i="10"/>
  <c r="J16" i="12"/>
  <c r="J21" i="10"/>
  <c r="J24" i="10" s="1"/>
  <c r="J41" i="10"/>
  <c r="J43" i="10" s="1"/>
  <c r="L59" i="20"/>
  <c r="L53" i="20"/>
  <c r="L54" i="20" s="1"/>
  <c r="L58" i="20" s="1"/>
  <c r="L234" i="6"/>
  <c r="L242" i="6"/>
  <c r="L183" i="6"/>
  <c r="L290" i="6"/>
  <c r="L291" i="6" s="1"/>
  <c r="L283" i="6"/>
  <c r="L250" i="6"/>
  <c r="L121" i="6"/>
  <c r="L18" i="6"/>
  <c r="L19" i="6" s="1"/>
  <c r="L2" i="4" s="1"/>
  <c r="J224" i="6"/>
  <c r="J203" i="6"/>
  <c r="J54" i="6"/>
  <c r="J61" i="6"/>
  <c r="J67" i="6"/>
  <c r="J41" i="18"/>
  <c r="J40" i="16"/>
  <c r="L3" i="40"/>
  <c r="L3" i="37"/>
  <c r="L3" i="34"/>
  <c r="L3" i="31"/>
  <c r="L3" i="28"/>
  <c r="L3" i="22"/>
  <c r="L3" i="21"/>
  <c r="L3" i="20"/>
  <c r="L3" i="19"/>
  <c r="L3" i="18"/>
  <c r="L3" i="17"/>
  <c r="L3" i="16"/>
  <c r="L3" i="15"/>
  <c r="L3" i="14"/>
  <c r="L3" i="13"/>
  <c r="L3" i="11"/>
  <c r="L3" i="10"/>
  <c r="L3" i="9"/>
  <c r="L3" i="8"/>
  <c r="L3" i="7"/>
  <c r="L3" i="12"/>
  <c r="L59" i="6"/>
  <c r="L79" i="6"/>
  <c r="L39" i="6"/>
  <c r="L99" i="6"/>
  <c r="L3" i="6"/>
  <c r="J189" i="6"/>
  <c r="J190" i="6" s="1"/>
  <c r="J13" i="37"/>
  <c r="J20" i="18"/>
  <c r="J49" i="12"/>
  <c r="J61" i="12"/>
  <c r="J65" i="12" s="1"/>
  <c r="L34" i="6"/>
  <c r="L47" i="6"/>
  <c r="L41" i="6"/>
  <c r="M4" i="40"/>
  <c r="M4" i="37"/>
  <c r="M4" i="34"/>
  <c r="M4" i="31"/>
  <c r="M4" i="28"/>
  <c r="M4" i="22"/>
  <c r="M4" i="21"/>
  <c r="M10" i="21"/>
  <c r="M4" i="20"/>
  <c r="M32" i="20"/>
  <c r="M28" i="19"/>
  <c r="M4" i="19"/>
  <c r="M4" i="18"/>
  <c r="M10" i="18"/>
  <c r="M4" i="17"/>
  <c r="M28" i="17"/>
  <c r="M74" i="20"/>
  <c r="M4" i="16"/>
  <c r="M40" i="15"/>
  <c r="M10" i="16"/>
  <c r="M10" i="17"/>
  <c r="M4" i="15"/>
  <c r="M27" i="15"/>
  <c r="M27" i="13"/>
  <c r="M82" i="12"/>
  <c r="M4" i="13"/>
  <c r="M69" i="12"/>
  <c r="M4" i="14"/>
  <c r="M46" i="12"/>
  <c r="M59" i="12"/>
  <c r="M12" i="10"/>
  <c r="M4" i="10"/>
  <c r="M4" i="12"/>
  <c r="M35" i="9"/>
  <c r="M4" i="8"/>
  <c r="M18" i="12"/>
  <c r="M23" i="11"/>
  <c r="M4" i="11"/>
  <c r="M19" i="10"/>
  <c r="M4" i="7"/>
  <c r="M351" i="6"/>
  <c r="M352" i="6" s="1"/>
  <c r="M301" i="6"/>
  <c r="M302" i="6" s="1"/>
  <c r="M10" i="9"/>
  <c r="M320" i="6"/>
  <c r="M202" i="6"/>
  <c r="M312" i="6"/>
  <c r="M331" i="6"/>
  <c r="M332" i="6" s="1"/>
  <c r="M346" i="6"/>
  <c r="M347" i="6" s="1"/>
  <c r="M296" i="6"/>
  <c r="M297" i="6" s="1"/>
  <c r="M4" i="9"/>
  <c r="M259" i="6"/>
  <c r="M188" i="6"/>
  <c r="M66" i="6"/>
  <c r="M73" i="6"/>
  <c r="M80" i="6"/>
  <c r="M4" i="6"/>
  <c r="M336" i="6"/>
  <c r="M337" i="6" s="1"/>
  <c r="M275" i="6"/>
  <c r="M140" i="6"/>
  <c r="M86" i="6"/>
  <c r="M33" i="6"/>
  <c r="M93" i="6"/>
  <c r="M19" i="13"/>
  <c r="M126" i="6"/>
  <c r="M100" i="6"/>
  <c r="M46" i="6"/>
  <c r="M106" i="6"/>
  <c r="M53" i="6"/>
  <c r="M23" i="6"/>
  <c r="M24" i="6" s="1"/>
  <c r="M3" i="4" s="1"/>
  <c r="N28" i="6"/>
  <c r="N4" i="4" s="1"/>
  <c r="M40" i="6"/>
  <c r="M11" i="6"/>
  <c r="M12" i="6" s="1"/>
  <c r="M60" i="6"/>
  <c r="M35" i="10"/>
  <c r="L94" i="6"/>
  <c r="L101" i="6"/>
  <c r="L107" i="6"/>
  <c r="L14" i="37"/>
  <c r="L72" i="12"/>
  <c r="L76" i="12"/>
  <c r="L77" i="12" s="1"/>
  <c r="L64" i="12"/>
  <c r="J127" i="6"/>
  <c r="J128" i="6" s="1"/>
  <c r="J21" i="17"/>
  <c r="J22" i="17" s="1"/>
  <c r="K2" i="40"/>
  <c r="K2" i="37"/>
  <c r="K2" i="34"/>
  <c r="K2" i="31"/>
  <c r="K2" i="28"/>
  <c r="K2" i="21"/>
  <c r="K2" i="22"/>
  <c r="K60" i="20"/>
  <c r="K61" i="20" s="1"/>
  <c r="K2" i="20"/>
  <c r="K2" i="19"/>
  <c r="K2" i="18"/>
  <c r="K2" i="17"/>
  <c r="K2" i="16"/>
  <c r="K2" i="15"/>
  <c r="K2" i="14"/>
  <c r="K2" i="13"/>
  <c r="K2" i="11"/>
  <c r="K2" i="10"/>
  <c r="K2" i="12"/>
  <c r="K249" i="6"/>
  <c r="K251" i="6" s="1"/>
  <c r="K21" i="18" s="1"/>
  <c r="K2" i="9"/>
  <c r="K2" i="7"/>
  <c r="K233" i="6"/>
  <c r="K235" i="6" s="1"/>
  <c r="K21" i="17" s="1"/>
  <c r="K209" i="6"/>
  <c r="K319" i="6"/>
  <c r="K321" i="6" s="1"/>
  <c r="K313" i="6"/>
  <c r="L314" i="6" s="1"/>
  <c r="K241" i="6"/>
  <c r="K243" i="6" s="1"/>
  <c r="K20" i="16" s="1"/>
  <c r="K2" i="8"/>
  <c r="K282" i="6"/>
  <c r="K284" i="6" s="1"/>
  <c r="K276" i="6" s="1"/>
  <c r="K277" i="6" s="1"/>
  <c r="K270" i="6" s="1"/>
  <c r="K52" i="6"/>
  <c r="K176" i="6"/>
  <c r="K177" i="6" s="1"/>
  <c r="K147" i="6"/>
  <c r="K72" i="6"/>
  <c r="K120" i="6"/>
  <c r="K122" i="6" s="1"/>
  <c r="K127" i="6" s="1"/>
  <c r="K128" i="6" s="1"/>
  <c r="K132" i="6" s="1"/>
  <c r="K32" i="6"/>
  <c r="K2" i="6"/>
  <c r="K182" i="6"/>
  <c r="K184" i="6" s="1"/>
  <c r="K189" i="6" s="1"/>
  <c r="K190" i="6" s="1"/>
  <c r="K194" i="6" s="1"/>
  <c r="K114" i="6"/>
  <c r="K115" i="6" s="1"/>
  <c r="K92" i="6"/>
  <c r="K26" i="31"/>
  <c r="L11" i="21"/>
  <c r="L13" i="21" s="1"/>
  <c r="K29" i="9"/>
  <c r="L74" i="6"/>
  <c r="L81" i="6"/>
  <c r="J82" i="6" s="1"/>
  <c r="L87" i="6"/>
  <c r="J29" i="18"/>
  <c r="J14" i="18"/>
  <c r="J3" i="41" l="1"/>
  <c r="J3" i="38"/>
  <c r="J3" i="35"/>
  <c r="J3" i="32"/>
  <c r="J3" i="29"/>
  <c r="K67" i="20"/>
  <c r="K61" i="6"/>
  <c r="K67" i="6"/>
  <c r="K54" i="6"/>
  <c r="J88" i="6"/>
  <c r="L18" i="37"/>
  <c r="L30" i="13"/>
  <c r="L84" i="12"/>
  <c r="L62" i="12"/>
  <c r="L22" i="13"/>
  <c r="M14" i="37"/>
  <c r="M64" i="12"/>
  <c r="M76" i="12"/>
  <c r="M77" i="12" s="1"/>
  <c r="M72" i="12"/>
  <c r="J15" i="37"/>
  <c r="K60" i="12"/>
  <c r="L40" i="12"/>
  <c r="L41" i="12" s="1"/>
  <c r="L13" i="10"/>
  <c r="L14" i="10" s="1"/>
  <c r="L32" i="12"/>
  <c r="L33" i="12" s="1"/>
  <c r="J16" i="28"/>
  <c r="J50" i="12"/>
  <c r="L26" i="31"/>
  <c r="M11" i="21"/>
  <c r="L29" i="9"/>
  <c r="M9" i="37"/>
  <c r="M22" i="10"/>
  <c r="M17" i="12"/>
  <c r="M42" i="10"/>
  <c r="J48" i="17"/>
  <c r="J34" i="17"/>
  <c r="K8" i="37"/>
  <c r="K34" i="10"/>
  <c r="K16" i="12"/>
  <c r="K21" i="10"/>
  <c r="K41" i="10"/>
  <c r="K43" i="10" s="1"/>
  <c r="K25" i="14" s="1"/>
  <c r="K26" i="14" s="1"/>
  <c r="J77" i="20"/>
  <c r="J69" i="20"/>
  <c r="M34" i="6"/>
  <c r="M41" i="6"/>
  <c r="M47" i="6"/>
  <c r="M13" i="21"/>
  <c r="J25" i="14"/>
  <c r="J26" i="14" s="1"/>
  <c r="K13" i="37"/>
  <c r="K20" i="18"/>
  <c r="K49" i="12"/>
  <c r="K61" i="12"/>
  <c r="J8" i="31"/>
  <c r="K20" i="13"/>
  <c r="M3" i="40"/>
  <c r="M3" i="37"/>
  <c r="M3" i="34"/>
  <c r="M3" i="31"/>
  <c r="M3" i="28"/>
  <c r="M3" i="22"/>
  <c r="M3" i="21"/>
  <c r="M3" i="19"/>
  <c r="M3" i="18"/>
  <c r="M3" i="20"/>
  <c r="M3" i="17"/>
  <c r="M3" i="16"/>
  <c r="M3" i="14"/>
  <c r="M3" i="15"/>
  <c r="M3" i="13"/>
  <c r="M3" i="12"/>
  <c r="M3" i="11"/>
  <c r="M3" i="10"/>
  <c r="M3" i="8"/>
  <c r="M3" i="9"/>
  <c r="M3" i="7"/>
  <c r="M59" i="6"/>
  <c r="M79" i="6"/>
  <c r="M99" i="6"/>
  <c r="M39" i="6"/>
  <c r="M3" i="6"/>
  <c r="M74" i="6"/>
  <c r="M81" i="6"/>
  <c r="M87" i="6"/>
  <c r="M94" i="6"/>
  <c r="M101" i="6"/>
  <c r="M107" i="6"/>
  <c r="J10" i="37"/>
  <c r="J24" i="12"/>
  <c r="J26" i="12" s="1"/>
  <c r="K20" i="10"/>
  <c r="K11" i="37"/>
  <c r="K20" i="17"/>
  <c r="K22" i="17" s="1"/>
  <c r="K13" i="15"/>
  <c r="K14" i="15" s="1"/>
  <c r="K21" i="13"/>
  <c r="K39" i="12"/>
  <c r="K48" i="12"/>
  <c r="K17" i="9"/>
  <c r="K18" i="9" s="1"/>
  <c r="J15" i="15"/>
  <c r="J32" i="15"/>
  <c r="K141" i="6"/>
  <c r="K162" i="6"/>
  <c r="M59" i="20"/>
  <c r="M53" i="20"/>
  <c r="M54" i="20" s="1"/>
  <c r="M58" i="20" s="1"/>
  <c r="M242" i="6"/>
  <c r="M183" i="6"/>
  <c r="M290" i="6"/>
  <c r="M291" i="6" s="1"/>
  <c r="M283" i="6"/>
  <c r="M250" i="6"/>
  <c r="M234" i="6"/>
  <c r="M121" i="6"/>
  <c r="M18" i="6"/>
  <c r="M19" i="6" s="1"/>
  <c r="M2" i="4" s="1"/>
  <c r="J45" i="16"/>
  <c r="J46" i="16" s="1"/>
  <c r="J32" i="16"/>
  <c r="J41" i="16"/>
  <c r="L2" i="40"/>
  <c r="L2" i="37"/>
  <c r="L2" i="34"/>
  <c r="L2" i="31"/>
  <c r="L2" i="28"/>
  <c r="L2" i="22"/>
  <c r="L2" i="21"/>
  <c r="L60" i="20"/>
  <c r="L61" i="20" s="1"/>
  <c r="L2" i="20"/>
  <c r="L2" i="19"/>
  <c r="L2" i="18"/>
  <c r="L2" i="17"/>
  <c r="L2" i="14"/>
  <c r="L2" i="16"/>
  <c r="L2" i="15"/>
  <c r="L2" i="13"/>
  <c r="L2" i="10"/>
  <c r="L2" i="9"/>
  <c r="L2" i="12"/>
  <c r="L2" i="7"/>
  <c r="L233" i="6"/>
  <c r="L235" i="6" s="1"/>
  <c r="L21" i="17" s="1"/>
  <c r="L209" i="6"/>
  <c r="L319" i="6"/>
  <c r="L321" i="6" s="1"/>
  <c r="L313" i="6"/>
  <c r="L241" i="6"/>
  <c r="L243" i="6" s="1"/>
  <c r="L20" i="16" s="1"/>
  <c r="L2" i="8"/>
  <c r="L282" i="6"/>
  <c r="L284" i="6" s="1"/>
  <c r="L276" i="6" s="1"/>
  <c r="L277" i="6" s="1"/>
  <c r="L270" i="6" s="1"/>
  <c r="L52" i="6"/>
  <c r="L176" i="6"/>
  <c r="L177" i="6" s="1"/>
  <c r="L147" i="6"/>
  <c r="L72" i="6"/>
  <c r="J75" i="6" s="1"/>
  <c r="L120" i="6"/>
  <c r="L122" i="6" s="1"/>
  <c r="L127" i="6" s="1"/>
  <c r="L128" i="6" s="1"/>
  <c r="L132" i="6" s="1"/>
  <c r="L2" i="11"/>
  <c r="L249" i="6"/>
  <c r="L251" i="6" s="1"/>
  <c r="L21" i="18" s="1"/>
  <c r="L182" i="6"/>
  <c r="L184" i="6" s="1"/>
  <c r="L189" i="6" s="1"/>
  <c r="L190" i="6" s="1"/>
  <c r="L194" i="6" s="1"/>
  <c r="L114" i="6"/>
  <c r="L115" i="6" s="1"/>
  <c r="L92" i="6"/>
  <c r="L2" i="6"/>
  <c r="L32" i="6"/>
  <c r="J17" i="37"/>
  <c r="K70" i="12"/>
  <c r="J17" i="11"/>
  <c r="J18" i="11" s="1"/>
  <c r="J21" i="19"/>
  <c r="J21" i="15"/>
  <c r="L22" i="15" s="1"/>
  <c r="J43" i="15"/>
  <c r="J45" i="15" s="1"/>
  <c r="K203" i="6"/>
  <c r="K224" i="6"/>
  <c r="K22" i="18"/>
  <c r="J17" i="34"/>
  <c r="J27" i="17"/>
  <c r="J12" i="17"/>
  <c r="J132" i="6"/>
  <c r="J194" i="6"/>
  <c r="J270" i="6"/>
  <c r="J22" i="34"/>
  <c r="N4" i="40"/>
  <c r="N4" i="37"/>
  <c r="N4" i="34"/>
  <c r="N4" i="28"/>
  <c r="N4" i="31"/>
  <c r="N4" i="22"/>
  <c r="N4" i="21"/>
  <c r="N10" i="21"/>
  <c r="N74" i="20"/>
  <c r="N4" i="20"/>
  <c r="N32" i="20"/>
  <c r="N28" i="19"/>
  <c r="N4" i="18"/>
  <c r="N4" i="19"/>
  <c r="N28" i="17"/>
  <c r="N10" i="17"/>
  <c r="N4" i="17"/>
  <c r="N4" i="16"/>
  <c r="N27" i="15"/>
  <c r="N40" i="15"/>
  <c r="N10" i="16"/>
  <c r="N10" i="18"/>
  <c r="N69" i="12"/>
  <c r="N19" i="13"/>
  <c r="N4" i="13"/>
  <c r="N27" i="13"/>
  <c r="N4" i="15"/>
  <c r="N4" i="14"/>
  <c r="N82" i="12"/>
  <c r="N4" i="12"/>
  <c r="N46" i="12"/>
  <c r="N59" i="12"/>
  <c r="N18" i="12"/>
  <c r="N23" i="11"/>
  <c r="N4" i="11"/>
  <c r="N19" i="10"/>
  <c r="N10" i="9"/>
  <c r="N320" i="6"/>
  <c r="N202" i="6"/>
  <c r="N12" i="10"/>
  <c r="N4" i="10"/>
  <c r="N4" i="8"/>
  <c r="N312" i="6"/>
  <c r="N331" i="6"/>
  <c r="N332" i="6" s="1"/>
  <c r="N188" i="6"/>
  <c r="N346" i="6"/>
  <c r="N347" i="6" s="1"/>
  <c r="N296" i="6"/>
  <c r="N297" i="6" s="1"/>
  <c r="N4" i="9"/>
  <c r="N259" i="6"/>
  <c r="N336" i="6"/>
  <c r="N337" i="6" s="1"/>
  <c r="N275" i="6"/>
  <c r="N35" i="9"/>
  <c r="N73" i="6"/>
  <c r="N80" i="6"/>
  <c r="N4" i="6"/>
  <c r="N140" i="6"/>
  <c r="N86" i="6"/>
  <c r="N33" i="6"/>
  <c r="N11" i="6"/>
  <c r="N12" i="6" s="1"/>
  <c r="N4" i="7"/>
  <c r="N93" i="6"/>
  <c r="N40" i="6"/>
  <c r="O28" i="6"/>
  <c r="O4" i="4" s="1"/>
  <c r="N301" i="6"/>
  <c r="N302" i="6" s="1"/>
  <c r="N126" i="6"/>
  <c r="N100" i="6"/>
  <c r="N106" i="6"/>
  <c r="N53" i="6"/>
  <c r="N60" i="6"/>
  <c r="N23" i="6"/>
  <c r="N24" i="6" s="1"/>
  <c r="N3" i="4" s="1"/>
  <c r="N46" i="6"/>
  <c r="N351" i="6"/>
  <c r="N352" i="6" s="1"/>
  <c r="N66" i="6"/>
  <c r="N35" i="10"/>
  <c r="M314" i="6"/>
  <c r="M29" i="17"/>
  <c r="M14" i="17"/>
  <c r="J46" i="18"/>
  <c r="J47" i="18" s="1"/>
  <c r="J42" i="18"/>
  <c r="J33" i="18"/>
  <c r="J35" i="17"/>
  <c r="J10" i="12"/>
  <c r="J11" i="12" s="1"/>
  <c r="J29" i="15"/>
  <c r="J22" i="18"/>
  <c r="K85" i="12"/>
  <c r="L8" i="34" l="1"/>
  <c r="L44" i="15"/>
  <c r="L67" i="20"/>
  <c r="K17" i="34"/>
  <c r="K27" i="17"/>
  <c r="K12" i="17"/>
  <c r="J21" i="34"/>
  <c r="J12" i="18"/>
  <c r="N53" i="20"/>
  <c r="N54" i="20" s="1"/>
  <c r="N58" i="20" s="1"/>
  <c r="N59" i="20"/>
  <c r="N242" i="6"/>
  <c r="N183" i="6"/>
  <c r="N290" i="6"/>
  <c r="N291" i="6" s="1"/>
  <c r="N283" i="6"/>
  <c r="N250" i="6"/>
  <c r="N234" i="6"/>
  <c r="N121" i="6"/>
  <c r="N18" i="6"/>
  <c r="N19" i="6" s="1"/>
  <c r="N2" i="4" s="1"/>
  <c r="M26" i="31"/>
  <c r="N11" i="21"/>
  <c r="M29" i="9"/>
  <c r="J18" i="28"/>
  <c r="N9" i="37"/>
  <c r="N17" i="12"/>
  <c r="N42" i="10"/>
  <c r="N22" i="10"/>
  <c r="N81" i="6"/>
  <c r="N87" i="6"/>
  <c r="N74" i="6"/>
  <c r="L203" i="6"/>
  <c r="L224" i="6"/>
  <c r="M2" i="40"/>
  <c r="M2" i="37"/>
  <c r="M2" i="34"/>
  <c r="M2" i="31"/>
  <c r="M2" i="21"/>
  <c r="M2" i="22"/>
  <c r="M2" i="28"/>
  <c r="M60" i="20"/>
  <c r="M2" i="20"/>
  <c r="M2" i="19"/>
  <c r="M2" i="18"/>
  <c r="M2" i="17"/>
  <c r="M2" i="16"/>
  <c r="M2" i="15"/>
  <c r="M2" i="14"/>
  <c r="M2" i="13"/>
  <c r="M2" i="10"/>
  <c r="M2" i="8"/>
  <c r="M2" i="12"/>
  <c r="M2" i="11"/>
  <c r="M2" i="9"/>
  <c r="M2" i="7"/>
  <c r="M233" i="6"/>
  <c r="M235" i="6" s="1"/>
  <c r="M319" i="6"/>
  <c r="M321" i="6" s="1"/>
  <c r="M313" i="6"/>
  <c r="N314" i="6" s="1"/>
  <c r="M241" i="6"/>
  <c r="M243" i="6" s="1"/>
  <c r="M182" i="6"/>
  <c r="M184" i="6" s="1"/>
  <c r="M282" i="6"/>
  <c r="M284" i="6" s="1"/>
  <c r="M249" i="6"/>
  <c r="M251" i="6" s="1"/>
  <c r="M21" i="18" s="1"/>
  <c r="M176" i="6"/>
  <c r="M177" i="6" s="1"/>
  <c r="M147" i="6"/>
  <c r="M209" i="6"/>
  <c r="M72" i="6"/>
  <c r="M120" i="6"/>
  <c r="M122" i="6" s="1"/>
  <c r="M114" i="6"/>
  <c r="M115" i="6" s="1"/>
  <c r="M92" i="6"/>
  <c r="M2" i="6"/>
  <c r="M32" i="6"/>
  <c r="M52" i="6"/>
  <c r="M61" i="20"/>
  <c r="M67" i="20" s="1"/>
  <c r="L11" i="37"/>
  <c r="L20" i="17"/>
  <c r="L22" i="17" s="1"/>
  <c r="L13" i="15"/>
  <c r="L14" i="15" s="1"/>
  <c r="L21" i="13"/>
  <c r="L48" i="12"/>
  <c r="L39" i="12"/>
  <c r="L17" i="9"/>
  <c r="L18" i="9" s="1"/>
  <c r="J48" i="18"/>
  <c r="J34" i="18"/>
  <c r="M18" i="34"/>
  <c r="N14" i="37"/>
  <c r="N76" i="12"/>
  <c r="N77" i="12" s="1"/>
  <c r="N64" i="12"/>
  <c r="N72" i="12"/>
  <c r="J8" i="28"/>
  <c r="J19" i="16"/>
  <c r="J21" i="16" s="1"/>
  <c r="J26" i="11"/>
  <c r="J27" i="11" s="1"/>
  <c r="L141" i="6"/>
  <c r="L162" i="6"/>
  <c r="J14" i="34"/>
  <c r="K29" i="15"/>
  <c r="K10" i="12"/>
  <c r="K11" i="12" s="1"/>
  <c r="J11" i="34"/>
  <c r="L8" i="37"/>
  <c r="L16" i="12"/>
  <c r="L34" i="10"/>
  <c r="L21" i="10"/>
  <c r="L41" i="10"/>
  <c r="L43" i="10" s="1"/>
  <c r="L25" i="14" s="1"/>
  <c r="L26" i="14" s="1"/>
  <c r="M18" i="37"/>
  <c r="M30" i="13"/>
  <c r="M84" i="12"/>
  <c r="M62" i="12"/>
  <c r="M22" i="13"/>
  <c r="N94" i="6"/>
  <c r="N101" i="6"/>
  <c r="N107" i="6"/>
  <c r="N34" i="6"/>
  <c r="N41" i="6"/>
  <c r="N47" i="6"/>
  <c r="K21" i="34"/>
  <c r="K12" i="18"/>
  <c r="J17" i="28"/>
  <c r="K28" i="10"/>
  <c r="J49" i="15"/>
  <c r="J34" i="15"/>
  <c r="J27" i="14"/>
  <c r="J12" i="14"/>
  <c r="L13" i="37"/>
  <c r="L20" i="18"/>
  <c r="L22" i="18" s="1"/>
  <c r="L61" i="12"/>
  <c r="L49" i="12"/>
  <c r="K27" i="10"/>
  <c r="J31" i="12"/>
  <c r="K11" i="13"/>
  <c r="K23" i="13"/>
  <c r="K34" i="15"/>
  <c r="K12" i="14"/>
  <c r="K49" i="15"/>
  <c r="K27" i="14"/>
  <c r="K9" i="28" s="1"/>
  <c r="J23" i="34"/>
  <c r="J13" i="17"/>
  <c r="N13" i="21"/>
  <c r="O4" i="40"/>
  <c r="O4" i="37"/>
  <c r="O4" i="34"/>
  <c r="O4" i="31"/>
  <c r="O4" i="28"/>
  <c r="O10" i="21"/>
  <c r="O4" i="22"/>
  <c r="O4" i="21"/>
  <c r="O32" i="20"/>
  <c r="O28" i="19"/>
  <c r="O74" i="20"/>
  <c r="O4" i="18"/>
  <c r="O4" i="20"/>
  <c r="O4" i="19"/>
  <c r="O28" i="17"/>
  <c r="O10" i="18"/>
  <c r="O40" i="15"/>
  <c r="O4" i="17"/>
  <c r="O10" i="16"/>
  <c r="O10" i="17"/>
  <c r="O4" i="16"/>
  <c r="O4" i="14"/>
  <c r="O4" i="15"/>
  <c r="O69" i="12"/>
  <c r="O27" i="15"/>
  <c r="O19" i="13"/>
  <c r="O4" i="13"/>
  <c r="O27" i="13"/>
  <c r="O82" i="12"/>
  <c r="O46" i="12"/>
  <c r="O18" i="12"/>
  <c r="O4" i="12"/>
  <c r="O59" i="12"/>
  <c r="O23" i="11"/>
  <c r="O4" i="11"/>
  <c r="O19" i="10"/>
  <c r="O12" i="10"/>
  <c r="O4" i="10"/>
  <c r="O4" i="8"/>
  <c r="O312" i="6"/>
  <c r="O331" i="6"/>
  <c r="O332" i="6" s="1"/>
  <c r="O188" i="6"/>
  <c r="O346" i="6"/>
  <c r="O347" i="6" s="1"/>
  <c r="O296" i="6"/>
  <c r="O297" i="6" s="1"/>
  <c r="O4" i="9"/>
  <c r="O259" i="6"/>
  <c r="O336" i="6"/>
  <c r="O337" i="6" s="1"/>
  <c r="O275" i="6"/>
  <c r="O35" i="9"/>
  <c r="O4" i="7"/>
  <c r="O351" i="6"/>
  <c r="O352" i="6" s="1"/>
  <c r="O301" i="6"/>
  <c r="O302" i="6" s="1"/>
  <c r="O80" i="6"/>
  <c r="O140" i="6"/>
  <c r="O86" i="6"/>
  <c r="O33" i="6"/>
  <c r="O11" i="6"/>
  <c r="O12" i="6" s="1"/>
  <c r="O320" i="6"/>
  <c r="O93" i="6"/>
  <c r="O40" i="6"/>
  <c r="P28" i="6"/>
  <c r="P4" i="4" s="1"/>
  <c r="O126" i="6"/>
  <c r="O100" i="6"/>
  <c r="O46" i="6"/>
  <c r="O106" i="6"/>
  <c r="O53" i="6"/>
  <c r="O60" i="6"/>
  <c r="O10" i="9"/>
  <c r="O66" i="6"/>
  <c r="O23" i="6"/>
  <c r="O24" i="6" s="1"/>
  <c r="O3" i="4" s="1"/>
  <c r="O73" i="6"/>
  <c r="O202" i="6"/>
  <c r="O4" i="6"/>
  <c r="O35" i="10"/>
  <c r="K19" i="37"/>
  <c r="L83" i="12"/>
  <c r="L85" i="12" s="1"/>
  <c r="N3" i="40"/>
  <c r="N3" i="37"/>
  <c r="N3" i="34"/>
  <c r="N3" i="31"/>
  <c r="N3" i="28"/>
  <c r="N3" i="22"/>
  <c r="N3" i="21"/>
  <c r="N3" i="20"/>
  <c r="N3" i="19"/>
  <c r="N3" i="18"/>
  <c r="N3" i="17"/>
  <c r="N3" i="16"/>
  <c r="N3" i="15"/>
  <c r="N3" i="14"/>
  <c r="N3" i="13"/>
  <c r="N3" i="11"/>
  <c r="N3" i="10"/>
  <c r="N3" i="12"/>
  <c r="N3" i="9"/>
  <c r="N3" i="7"/>
  <c r="N79" i="6"/>
  <c r="N3" i="8"/>
  <c r="N99" i="6"/>
  <c r="N39" i="6"/>
  <c r="N59" i="6"/>
  <c r="N3" i="6"/>
  <c r="J47" i="16"/>
  <c r="J33" i="16"/>
  <c r="J34" i="16" s="1"/>
  <c r="J9" i="19"/>
  <c r="J30" i="15"/>
  <c r="J35" i="18"/>
  <c r="N29" i="17"/>
  <c r="N18" i="34" s="1"/>
  <c r="N14" i="17"/>
  <c r="M32" i="12"/>
  <c r="M33" i="12" s="1"/>
  <c r="M40" i="12"/>
  <c r="M41" i="12" s="1"/>
  <c r="M13" i="10"/>
  <c r="M14" i="10" s="1"/>
  <c r="K32" i="15"/>
  <c r="K15" i="15"/>
  <c r="K14" i="34" s="1"/>
  <c r="J12" i="37"/>
  <c r="K47" i="12"/>
  <c r="J12" i="13"/>
  <c r="J13" i="13" s="1"/>
  <c r="J15" i="17"/>
  <c r="J2" i="41"/>
  <c r="J2" i="38"/>
  <c r="J2" i="35"/>
  <c r="J2" i="32"/>
  <c r="J2" i="29"/>
  <c r="L67" i="6"/>
  <c r="L54" i="6"/>
  <c r="L61" i="6"/>
  <c r="J10" i="31"/>
  <c r="K41" i="15"/>
  <c r="J4" i="41"/>
  <c r="J4" i="38"/>
  <c r="J4" i="35"/>
  <c r="J4" i="32"/>
  <c r="J4" i="29"/>
  <c r="J13" i="16" l="1"/>
  <c r="L17" i="34"/>
  <c r="L27" i="17"/>
  <c r="L12" i="17"/>
  <c r="J16" i="31"/>
  <c r="K11" i="17"/>
  <c r="O59" i="20"/>
  <c r="O53" i="20"/>
  <c r="O54" i="20" s="1"/>
  <c r="O58" i="20" s="1"/>
  <c r="O242" i="6"/>
  <c r="O290" i="6"/>
  <c r="O291" i="6" s="1"/>
  <c r="O283" i="6"/>
  <c r="O250" i="6"/>
  <c r="O234" i="6"/>
  <c r="O121" i="6"/>
  <c r="O18" i="6"/>
  <c r="O19" i="6" s="1"/>
  <c r="O2" i="4" s="1"/>
  <c r="O183" i="6"/>
  <c r="M21" i="17"/>
  <c r="J24" i="34"/>
  <c r="M8" i="37"/>
  <c r="M16" i="12"/>
  <c r="M21" i="10"/>
  <c r="M41" i="10"/>
  <c r="M43" i="10" s="1"/>
  <c r="M25" i="14" s="1"/>
  <c r="M26" i="14" s="1"/>
  <c r="M34" i="10"/>
  <c r="N18" i="37"/>
  <c r="N22" i="13"/>
  <c r="N84" i="12"/>
  <c r="N30" i="13"/>
  <c r="N62" i="12"/>
  <c r="L15" i="15"/>
  <c r="L14" i="34" s="1"/>
  <c r="L32" i="15"/>
  <c r="M203" i="6"/>
  <c r="M224" i="6"/>
  <c r="O87" i="6"/>
  <c r="O74" i="6"/>
  <c r="O81" i="6"/>
  <c r="O14" i="37"/>
  <c r="O64" i="12"/>
  <c r="O76" i="12"/>
  <c r="O77" i="12" s="1"/>
  <c r="O72" i="12"/>
  <c r="L21" i="34"/>
  <c r="L12" i="18"/>
  <c r="N40" i="12"/>
  <c r="N41" i="12" s="1"/>
  <c r="N32" i="12"/>
  <c r="N33" i="12" s="1"/>
  <c r="N13" i="10"/>
  <c r="N14" i="10" s="1"/>
  <c r="J13" i="18"/>
  <c r="O3" i="40"/>
  <c r="O3" i="37"/>
  <c r="O3" i="34"/>
  <c r="O3" i="31"/>
  <c r="O3" i="28"/>
  <c r="O3" i="21"/>
  <c r="O3" i="22"/>
  <c r="O3" i="20"/>
  <c r="O3" i="19"/>
  <c r="O3" i="18"/>
  <c r="O3" i="17"/>
  <c r="O3" i="16"/>
  <c r="O3" i="15"/>
  <c r="O3" i="14"/>
  <c r="O3" i="13"/>
  <c r="O3" i="11"/>
  <c r="O3" i="10"/>
  <c r="O3" i="12"/>
  <c r="O3" i="9"/>
  <c r="O3" i="7"/>
  <c r="O3" i="8"/>
  <c r="O79" i="6"/>
  <c r="O39" i="6"/>
  <c r="O99" i="6"/>
  <c r="O59" i="6"/>
  <c r="O3" i="6"/>
  <c r="K8" i="31"/>
  <c r="L20" i="13"/>
  <c r="M276" i="6"/>
  <c r="M277" i="6" s="1"/>
  <c r="J15" i="18"/>
  <c r="M11" i="37"/>
  <c r="M20" i="17"/>
  <c r="M13" i="15"/>
  <c r="M14" i="15" s="1"/>
  <c r="M39" i="12"/>
  <c r="M48" i="12"/>
  <c r="M21" i="13"/>
  <c r="M17" i="9"/>
  <c r="M18" i="9" s="1"/>
  <c r="P4" i="40"/>
  <c r="P4" i="37"/>
  <c r="P4" i="34"/>
  <c r="P4" i="31"/>
  <c r="P4" i="28"/>
  <c r="P74" i="20"/>
  <c r="P4" i="22"/>
  <c r="P4" i="21"/>
  <c r="P10" i="21"/>
  <c r="P32" i="20"/>
  <c r="P28" i="19"/>
  <c r="P4" i="20"/>
  <c r="P10" i="18"/>
  <c r="P4" i="19"/>
  <c r="P28" i="17"/>
  <c r="P10" i="17"/>
  <c r="P4" i="18"/>
  <c r="P4" i="17"/>
  <c r="P4" i="16"/>
  <c r="P40" i="15"/>
  <c r="P10" i="16"/>
  <c r="P4" i="15"/>
  <c r="P27" i="15"/>
  <c r="P19" i="13"/>
  <c r="P4" i="13"/>
  <c r="P27" i="13"/>
  <c r="P82" i="12"/>
  <c r="P4" i="14"/>
  <c r="P46" i="12"/>
  <c r="P59" i="12"/>
  <c r="P69" i="12"/>
  <c r="P18" i="12"/>
  <c r="P10" i="9"/>
  <c r="P23" i="11"/>
  <c r="P4" i="11"/>
  <c r="P19" i="10"/>
  <c r="P12" i="10"/>
  <c r="P4" i="10"/>
  <c r="P4" i="9"/>
  <c r="P4" i="12"/>
  <c r="P4" i="8"/>
  <c r="P312" i="6"/>
  <c r="P331" i="6"/>
  <c r="P332" i="6" s="1"/>
  <c r="P188" i="6"/>
  <c r="P346" i="6"/>
  <c r="P347" i="6" s="1"/>
  <c r="P296" i="6"/>
  <c r="P297" i="6" s="1"/>
  <c r="P259" i="6"/>
  <c r="P336" i="6"/>
  <c r="P337" i="6" s="1"/>
  <c r="P275" i="6"/>
  <c r="P35" i="9"/>
  <c r="P4" i="7"/>
  <c r="P351" i="6"/>
  <c r="P352" i="6" s="1"/>
  <c r="P301" i="6"/>
  <c r="P302" i="6" s="1"/>
  <c r="P320" i="6"/>
  <c r="P140" i="6"/>
  <c r="P86" i="6"/>
  <c r="P93" i="6"/>
  <c r="P40" i="6"/>
  <c r="Q28" i="6"/>
  <c r="Q4" i="4" s="1"/>
  <c r="P126" i="6"/>
  <c r="P100" i="6"/>
  <c r="P46" i="6"/>
  <c r="P106" i="6"/>
  <c r="P53" i="6"/>
  <c r="P23" i="6"/>
  <c r="P24" i="6" s="1"/>
  <c r="P3" i="4" s="1"/>
  <c r="P60" i="6"/>
  <c r="P66" i="6"/>
  <c r="P202" i="6"/>
  <c r="P73" i="6"/>
  <c r="P33" i="6"/>
  <c r="P11" i="6"/>
  <c r="P12" i="6" s="1"/>
  <c r="P4" i="6"/>
  <c r="P80" i="6"/>
  <c r="P35" i="10"/>
  <c r="O29" i="17"/>
  <c r="O14" i="17"/>
  <c r="K29" i="10"/>
  <c r="M141" i="6"/>
  <c r="M162" i="6"/>
  <c r="M189" i="6"/>
  <c r="M190" i="6" s="1"/>
  <c r="M13" i="37"/>
  <c r="M20" i="18"/>
  <c r="M22" i="18" s="1"/>
  <c r="M61" i="12"/>
  <c r="M49" i="12"/>
  <c r="J29" i="13"/>
  <c r="J31" i="13" s="1"/>
  <c r="J14" i="13"/>
  <c r="O41" i="6"/>
  <c r="O47" i="6"/>
  <c r="O34" i="6"/>
  <c r="N26" i="31"/>
  <c r="O11" i="21"/>
  <c r="O13" i="21" s="1"/>
  <c r="N29" i="9"/>
  <c r="L49" i="15"/>
  <c r="L34" i="15"/>
  <c r="L27" i="14"/>
  <c r="L9" i="28" s="1"/>
  <c r="L12" i="14"/>
  <c r="K9" i="19"/>
  <c r="K30" i="15"/>
  <c r="L29" i="15"/>
  <c r="L10" i="12"/>
  <c r="L11" i="12" s="1"/>
  <c r="M127" i="6"/>
  <c r="M128" i="6" s="1"/>
  <c r="M20" i="16"/>
  <c r="N2" i="40"/>
  <c r="N2" i="37"/>
  <c r="N2" i="34"/>
  <c r="N2" i="31"/>
  <c r="N2" i="28"/>
  <c r="N2" i="21"/>
  <c r="N2" i="22"/>
  <c r="N60" i="20"/>
  <c r="N2" i="20"/>
  <c r="N2" i="18"/>
  <c r="N2" i="19"/>
  <c r="N2" i="16"/>
  <c r="N2" i="17"/>
  <c r="N2" i="15"/>
  <c r="N2" i="14"/>
  <c r="N2" i="13"/>
  <c r="N2" i="12"/>
  <c r="N2" i="11"/>
  <c r="N2" i="10"/>
  <c r="N319" i="6"/>
  <c r="N321" i="6" s="1"/>
  <c r="N313" i="6"/>
  <c r="O314" i="6" s="1"/>
  <c r="N241" i="6"/>
  <c r="N243" i="6" s="1"/>
  <c r="N20" i="16" s="1"/>
  <c r="N182" i="6"/>
  <c r="N184" i="6" s="1"/>
  <c r="N189" i="6" s="1"/>
  <c r="N190" i="6" s="1"/>
  <c r="N194" i="6" s="1"/>
  <c r="N176" i="6"/>
  <c r="N177" i="6" s="1"/>
  <c r="N2" i="8"/>
  <c r="N282" i="6"/>
  <c r="N284" i="6" s="1"/>
  <c r="N276" i="6" s="1"/>
  <c r="N277" i="6" s="1"/>
  <c r="N270" i="6" s="1"/>
  <c r="N249" i="6"/>
  <c r="N251" i="6" s="1"/>
  <c r="N21" i="18" s="1"/>
  <c r="N147" i="6"/>
  <c r="N209" i="6"/>
  <c r="N72" i="6"/>
  <c r="N2" i="7"/>
  <c r="N120" i="6"/>
  <c r="N122" i="6" s="1"/>
  <c r="N127" i="6" s="1"/>
  <c r="N128" i="6" s="1"/>
  <c r="N132" i="6" s="1"/>
  <c r="N32" i="6"/>
  <c r="N114" i="6"/>
  <c r="N115" i="6" s="1"/>
  <c r="N92" i="6"/>
  <c r="N2" i="9"/>
  <c r="N233" i="6"/>
  <c r="N235" i="6" s="1"/>
  <c r="N21" i="17" s="1"/>
  <c r="N52" i="6"/>
  <c r="N2" i="6"/>
  <c r="L19" i="37"/>
  <c r="M83" i="12"/>
  <c r="M85" i="12" s="1"/>
  <c r="O9" i="37"/>
  <c r="O17" i="12"/>
  <c r="O42" i="10"/>
  <c r="O22" i="10"/>
  <c r="O94" i="6"/>
  <c r="O101" i="6"/>
  <c r="O107" i="6"/>
  <c r="J14" i="31"/>
  <c r="K24" i="11"/>
  <c r="N61" i="20"/>
  <c r="N67" i="20" s="1"/>
  <c r="K25" i="12"/>
  <c r="K50" i="12"/>
  <c r="J9" i="28"/>
  <c r="J19" i="34"/>
  <c r="J12" i="16"/>
  <c r="J15" i="16" s="1"/>
  <c r="J26" i="16"/>
  <c r="L27" i="16" s="1"/>
  <c r="J25" i="34"/>
  <c r="M54" i="6"/>
  <c r="M61" i="6"/>
  <c r="M67" i="6"/>
  <c r="O26" i="31" l="1"/>
  <c r="P11" i="21"/>
  <c r="P13" i="21" s="1"/>
  <c r="O29" i="9"/>
  <c r="M21" i="34"/>
  <c r="M12" i="18"/>
  <c r="K53" i="12"/>
  <c r="K54" i="12" s="1"/>
  <c r="K11" i="11"/>
  <c r="K12" i="11" s="1"/>
  <c r="K23" i="10"/>
  <c r="K24" i="10" s="1"/>
  <c r="M19" i="37"/>
  <c r="N83" i="12"/>
  <c r="N85" i="12" s="1"/>
  <c r="M132" i="6"/>
  <c r="M194" i="6"/>
  <c r="P47" i="6"/>
  <c r="P34" i="6"/>
  <c r="P41" i="6"/>
  <c r="P29" i="17"/>
  <c r="P14" i="17"/>
  <c r="L11" i="13"/>
  <c r="L23" i="13"/>
  <c r="O2" i="40"/>
  <c r="O2" i="37"/>
  <c r="O2" i="34"/>
  <c r="O2" i="31"/>
  <c r="O2" i="28"/>
  <c r="O2" i="22"/>
  <c r="O60" i="20"/>
  <c r="O2" i="21"/>
  <c r="O2" i="20"/>
  <c r="O2" i="18"/>
  <c r="O2" i="19"/>
  <c r="O2" i="17"/>
  <c r="O2" i="16"/>
  <c r="O2" i="15"/>
  <c r="O2" i="14"/>
  <c r="O2" i="13"/>
  <c r="O2" i="12"/>
  <c r="O2" i="11"/>
  <c r="O2" i="10"/>
  <c r="O319" i="6"/>
  <c r="O321" i="6" s="1"/>
  <c r="O313" i="6"/>
  <c r="O241" i="6"/>
  <c r="O243" i="6" s="1"/>
  <c r="O182" i="6"/>
  <c r="O184" i="6" s="1"/>
  <c r="O189" i="6" s="1"/>
  <c r="O190" i="6" s="1"/>
  <c r="O194" i="6" s="1"/>
  <c r="O176" i="6"/>
  <c r="O177" i="6" s="1"/>
  <c r="O2" i="8"/>
  <c r="O282" i="6"/>
  <c r="O284" i="6" s="1"/>
  <c r="O276" i="6" s="1"/>
  <c r="O277" i="6" s="1"/>
  <c r="O270" i="6" s="1"/>
  <c r="O249" i="6"/>
  <c r="O251" i="6" s="1"/>
  <c r="O21" i="18" s="1"/>
  <c r="O2" i="9"/>
  <c r="O2" i="7"/>
  <c r="O233" i="6"/>
  <c r="O235" i="6" s="1"/>
  <c r="O21" i="17" s="1"/>
  <c r="O209" i="6"/>
  <c r="O72" i="6"/>
  <c r="O120" i="6"/>
  <c r="O122" i="6" s="1"/>
  <c r="O32" i="6"/>
  <c r="O114" i="6"/>
  <c r="O115" i="6" s="1"/>
  <c r="O92" i="6"/>
  <c r="O52" i="6"/>
  <c r="O147" i="6"/>
  <c r="O2" i="6"/>
  <c r="K40" i="17"/>
  <c r="K41" i="17" s="1"/>
  <c r="P94" i="6"/>
  <c r="P101" i="6"/>
  <c r="P107" i="6"/>
  <c r="M49" i="15"/>
  <c r="M27" i="14"/>
  <c r="M34" i="15"/>
  <c r="M12" i="14"/>
  <c r="L14" i="16"/>
  <c r="L28" i="16"/>
  <c r="N54" i="6"/>
  <c r="N61" i="6"/>
  <c r="N67" i="6"/>
  <c r="P9" i="37"/>
  <c r="P17" i="12"/>
  <c r="P22" i="10"/>
  <c r="P42" i="10"/>
  <c r="Q4" i="40"/>
  <c r="Q4" i="37"/>
  <c r="Q4" i="34"/>
  <c r="Q4" i="31"/>
  <c r="Q4" i="28"/>
  <c r="Q10" i="21"/>
  <c r="Q4" i="22"/>
  <c r="Q4" i="21"/>
  <c r="Q32" i="20"/>
  <c r="Q74" i="20"/>
  <c r="Q4" i="20"/>
  <c r="Q10" i="18"/>
  <c r="Q4" i="19"/>
  <c r="Q28" i="19"/>
  <c r="Q10" i="17"/>
  <c r="Q4" i="18"/>
  <c r="Q10" i="16"/>
  <c r="Q4" i="17"/>
  <c r="Q4" i="16"/>
  <c r="Q40" i="15"/>
  <c r="Q4" i="14"/>
  <c r="Q4" i="15"/>
  <c r="Q27" i="15"/>
  <c r="Q28" i="17"/>
  <c r="Q19" i="13"/>
  <c r="Q4" i="13"/>
  <c r="Q27" i="13"/>
  <c r="Q82" i="12"/>
  <c r="Q46" i="12"/>
  <c r="Q59" i="12"/>
  <c r="Q69" i="12"/>
  <c r="Q4" i="12"/>
  <c r="Q18" i="12"/>
  <c r="Q23" i="11"/>
  <c r="Q4" i="11"/>
  <c r="Q19" i="10"/>
  <c r="Q12" i="10"/>
  <c r="Q4" i="10"/>
  <c r="Q35" i="9"/>
  <c r="Q4" i="8"/>
  <c r="Q331" i="6"/>
  <c r="Q332" i="6" s="1"/>
  <c r="Q346" i="6"/>
  <c r="Q347" i="6" s="1"/>
  <c r="Q296" i="6"/>
  <c r="Q297" i="6" s="1"/>
  <c r="Q259" i="6"/>
  <c r="Q4" i="9"/>
  <c r="Q336" i="6"/>
  <c r="Q337" i="6" s="1"/>
  <c r="Q275" i="6"/>
  <c r="Q4" i="7"/>
  <c r="Q351" i="6"/>
  <c r="Q352" i="6" s="1"/>
  <c r="Q301" i="6"/>
  <c r="Q302" i="6" s="1"/>
  <c r="Q320" i="6"/>
  <c r="Q10" i="9"/>
  <c r="Q202" i="6"/>
  <c r="Q93" i="6"/>
  <c r="Q312" i="6"/>
  <c r="Q126" i="6"/>
  <c r="Q100" i="6"/>
  <c r="Q46" i="6"/>
  <c r="Q106" i="6"/>
  <c r="Q53" i="6"/>
  <c r="Q23" i="6"/>
  <c r="Q24" i="6" s="1"/>
  <c r="Q3" i="4" s="1"/>
  <c r="Q60" i="6"/>
  <c r="Q66" i="6"/>
  <c r="Q73" i="6"/>
  <c r="Q80" i="6"/>
  <c r="Q188" i="6"/>
  <c r="Q140" i="6"/>
  <c r="R28" i="6"/>
  <c r="R4" i="4" s="1"/>
  <c r="Q33" i="6"/>
  <c r="Q11" i="6"/>
  <c r="Q12" i="6" s="1"/>
  <c r="Q4" i="6"/>
  <c r="Q40" i="6"/>
  <c r="Q86" i="6"/>
  <c r="Q35" i="10"/>
  <c r="M29" i="15"/>
  <c r="M10" i="12"/>
  <c r="M11" i="12" s="1"/>
  <c r="J18" i="31"/>
  <c r="K11" i="18"/>
  <c r="M270" i="6"/>
  <c r="O18" i="37"/>
  <c r="O22" i="13"/>
  <c r="O30" i="13"/>
  <c r="O84" i="12"/>
  <c r="O62" i="12"/>
  <c r="J13" i="28"/>
  <c r="P314" i="6"/>
  <c r="N141" i="6"/>
  <c r="N162" i="6"/>
  <c r="J32" i="13"/>
  <c r="J9" i="31" s="1"/>
  <c r="K28" i="13"/>
  <c r="P3" i="40"/>
  <c r="P3" i="37"/>
  <c r="P3" i="34"/>
  <c r="P3" i="31"/>
  <c r="P3" i="28"/>
  <c r="P3" i="22"/>
  <c r="P3" i="21"/>
  <c r="P3" i="20"/>
  <c r="P3" i="19"/>
  <c r="P3" i="18"/>
  <c r="P3" i="17"/>
  <c r="P3" i="14"/>
  <c r="P3" i="16"/>
  <c r="P3" i="15"/>
  <c r="P3" i="13"/>
  <c r="P3" i="10"/>
  <c r="P3" i="9"/>
  <c r="P3" i="12"/>
  <c r="P3" i="7"/>
  <c r="P3" i="8"/>
  <c r="P79" i="6"/>
  <c r="P39" i="6"/>
  <c r="P99" i="6"/>
  <c r="P3" i="11"/>
  <c r="P59" i="6"/>
  <c r="P3" i="6"/>
  <c r="M22" i="17"/>
  <c r="K12" i="37"/>
  <c r="L47" i="12"/>
  <c r="K12" i="13"/>
  <c r="K13" i="13" s="1"/>
  <c r="L9" i="19"/>
  <c r="L30" i="15"/>
  <c r="P59" i="20"/>
  <c r="P53" i="20"/>
  <c r="P54" i="20" s="1"/>
  <c r="P58" i="20" s="1"/>
  <c r="P290" i="6"/>
  <c r="P291" i="6" s="1"/>
  <c r="P283" i="6"/>
  <c r="P250" i="6"/>
  <c r="P234" i="6"/>
  <c r="P121" i="6"/>
  <c r="P183" i="6"/>
  <c r="P242" i="6"/>
  <c r="P18" i="6"/>
  <c r="P19" i="6" s="1"/>
  <c r="P2" i="4" s="1"/>
  <c r="P74" i="6"/>
  <c r="P81" i="6"/>
  <c r="P87" i="6"/>
  <c r="P14" i="37"/>
  <c r="P64" i="12"/>
  <c r="P72" i="12"/>
  <c r="P76" i="12"/>
  <c r="P77" i="12" s="1"/>
  <c r="N8" i="37"/>
  <c r="N21" i="10"/>
  <c r="N16" i="12"/>
  <c r="N41" i="10"/>
  <c r="N43" i="10" s="1"/>
  <c r="N25" i="14" s="1"/>
  <c r="N26" i="14" s="1"/>
  <c r="N34" i="10"/>
  <c r="O40" i="12"/>
  <c r="O41" i="12" s="1"/>
  <c r="O32" i="12"/>
  <c r="O33" i="12" s="1"/>
  <c r="O13" i="10"/>
  <c r="O14" i="10" s="1"/>
  <c r="J17" i="31"/>
  <c r="K11" i="16"/>
  <c r="N224" i="6"/>
  <c r="N203" i="6"/>
  <c r="O18" i="34"/>
  <c r="M32" i="15"/>
  <c r="M15" i="15"/>
  <c r="N11" i="37"/>
  <c r="N20" i="17"/>
  <c r="N22" i="17" s="1"/>
  <c r="N13" i="15"/>
  <c r="N14" i="15" s="1"/>
  <c r="N21" i="13"/>
  <c r="N48" i="12"/>
  <c r="N39" i="12"/>
  <c r="N17" i="9"/>
  <c r="N18" i="9" s="1"/>
  <c r="N13" i="37"/>
  <c r="N20" i="18"/>
  <c r="N22" i="18" s="1"/>
  <c r="N61" i="12"/>
  <c r="N49" i="12"/>
  <c r="O61" i="20"/>
  <c r="O67" i="20" s="1"/>
  <c r="N17" i="34" l="1"/>
  <c r="N12" i="17"/>
  <c r="N27" i="17"/>
  <c r="O8" i="37"/>
  <c r="O16" i="12"/>
  <c r="O41" i="10"/>
  <c r="O43" i="10" s="1"/>
  <c r="O25" i="14" s="1"/>
  <c r="O26" i="14" s="1"/>
  <c r="O34" i="10"/>
  <c r="O21" i="10"/>
  <c r="K29" i="13"/>
  <c r="K14" i="13"/>
  <c r="R4" i="40"/>
  <c r="R4" i="37"/>
  <c r="R4" i="34"/>
  <c r="R4" i="31"/>
  <c r="R4" i="28"/>
  <c r="R10" i="21"/>
  <c r="R4" i="22"/>
  <c r="R4" i="21"/>
  <c r="R32" i="20"/>
  <c r="R74" i="20"/>
  <c r="R4" i="20"/>
  <c r="R10" i="18"/>
  <c r="R4" i="19"/>
  <c r="R4" i="18"/>
  <c r="R4" i="17"/>
  <c r="R28" i="17"/>
  <c r="R10" i="17"/>
  <c r="R28" i="19"/>
  <c r="R10" i="16"/>
  <c r="R27" i="15"/>
  <c r="R40" i="15"/>
  <c r="R27" i="13"/>
  <c r="R82" i="12"/>
  <c r="R4" i="14"/>
  <c r="R4" i="15"/>
  <c r="R69" i="12"/>
  <c r="R59" i="12"/>
  <c r="R18" i="12"/>
  <c r="R19" i="13"/>
  <c r="R4" i="13"/>
  <c r="R46" i="12"/>
  <c r="R23" i="11"/>
  <c r="R4" i="11"/>
  <c r="R19" i="10"/>
  <c r="R12" i="10"/>
  <c r="R4" i="10"/>
  <c r="R4" i="16"/>
  <c r="R4" i="12"/>
  <c r="R346" i="6"/>
  <c r="R347" i="6" s="1"/>
  <c r="R296" i="6"/>
  <c r="R297" i="6" s="1"/>
  <c r="R259" i="6"/>
  <c r="R4" i="9"/>
  <c r="R336" i="6"/>
  <c r="R337" i="6" s="1"/>
  <c r="R275" i="6"/>
  <c r="R4" i="7"/>
  <c r="R351" i="6"/>
  <c r="R352" i="6" s="1"/>
  <c r="R301" i="6"/>
  <c r="R302" i="6" s="1"/>
  <c r="R35" i="9"/>
  <c r="R320" i="6"/>
  <c r="R10" i="9"/>
  <c r="R312" i="6"/>
  <c r="R126" i="6"/>
  <c r="R100" i="6"/>
  <c r="R46" i="6"/>
  <c r="R106" i="6"/>
  <c r="R53" i="6"/>
  <c r="R23" i="6"/>
  <c r="R24" i="6" s="1"/>
  <c r="R3" i="4" s="1"/>
  <c r="R60" i="6"/>
  <c r="R66" i="6"/>
  <c r="R73" i="6"/>
  <c r="R202" i="6"/>
  <c r="R80" i="6"/>
  <c r="R331" i="6"/>
  <c r="R332" i="6" s="1"/>
  <c r="R188" i="6"/>
  <c r="R140" i="6"/>
  <c r="R86" i="6"/>
  <c r="R33" i="6"/>
  <c r="R93" i="6"/>
  <c r="S28" i="6"/>
  <c r="S4" i="4" s="1"/>
  <c r="R11" i="6"/>
  <c r="R12" i="6" s="1"/>
  <c r="R4" i="6"/>
  <c r="R40" i="6"/>
  <c r="R4" i="8"/>
  <c r="R35" i="10"/>
  <c r="Q3" i="40"/>
  <c r="Q3" i="37"/>
  <c r="Q3" i="34"/>
  <c r="Q3" i="31"/>
  <c r="Q3" i="21"/>
  <c r="Q3" i="28"/>
  <c r="Q3" i="22"/>
  <c r="Q3" i="20"/>
  <c r="Q3" i="19"/>
  <c r="Q3" i="18"/>
  <c r="Q3" i="17"/>
  <c r="Q3" i="16"/>
  <c r="Q3" i="15"/>
  <c r="Q3" i="14"/>
  <c r="Q3" i="10"/>
  <c r="Q3" i="8"/>
  <c r="Q3" i="12"/>
  <c r="Q3" i="11"/>
  <c r="Q3" i="9"/>
  <c r="Q3" i="7"/>
  <c r="Q3" i="13"/>
  <c r="Q39" i="6"/>
  <c r="Q99" i="6"/>
  <c r="Q59" i="6"/>
  <c r="Q3" i="6"/>
  <c r="Q79" i="6"/>
  <c r="K46" i="17"/>
  <c r="K47" i="17" s="1"/>
  <c r="K42" i="17"/>
  <c r="K33" i="17"/>
  <c r="O127" i="6"/>
  <c r="O128" i="6" s="1"/>
  <c r="N29" i="15"/>
  <c r="N10" i="12"/>
  <c r="N11" i="12" s="1"/>
  <c r="O11" i="37"/>
  <c r="O20" i="17"/>
  <c r="O13" i="15"/>
  <c r="O14" i="15" s="1"/>
  <c r="O21" i="13"/>
  <c r="O39" i="12"/>
  <c r="O48" i="12"/>
  <c r="O17" i="9"/>
  <c r="O18" i="9" s="1"/>
  <c r="L25" i="12"/>
  <c r="L50" i="12"/>
  <c r="Q9" i="37"/>
  <c r="Q22" i="10"/>
  <c r="Q42" i="10"/>
  <c r="Q17" i="12"/>
  <c r="O224" i="6"/>
  <c r="O203" i="6"/>
  <c r="P18" i="34"/>
  <c r="O13" i="37"/>
  <c r="O20" i="18"/>
  <c r="O22" i="18" s="1"/>
  <c r="O61" i="12"/>
  <c r="O49" i="12"/>
  <c r="M17" i="34"/>
  <c r="M27" i="17"/>
  <c r="M12" i="17"/>
  <c r="Q47" i="6"/>
  <c r="Q34" i="6"/>
  <c r="Q41" i="6"/>
  <c r="O22" i="17"/>
  <c r="O20" i="16"/>
  <c r="L8" i="31"/>
  <c r="M20" i="13"/>
  <c r="K10" i="37"/>
  <c r="K24" i="12"/>
  <c r="K26" i="12" s="1"/>
  <c r="L20" i="10"/>
  <c r="N21" i="34"/>
  <c r="N12" i="18"/>
  <c r="K39" i="16"/>
  <c r="K40" i="16" s="1"/>
  <c r="K31" i="13"/>
  <c r="K27" i="18"/>
  <c r="K28" i="18" s="1"/>
  <c r="K40" i="18"/>
  <c r="K41" i="18" s="1"/>
  <c r="Q101" i="6"/>
  <c r="Q107" i="6"/>
  <c r="Q94" i="6"/>
  <c r="Q14" i="37"/>
  <c r="Q72" i="12"/>
  <c r="Q64" i="12"/>
  <c r="Q76" i="12"/>
  <c r="Q77" i="12" s="1"/>
  <c r="K16" i="19"/>
  <c r="K17" i="19" s="1"/>
  <c r="K20" i="15"/>
  <c r="K42" i="15"/>
  <c r="K25" i="11"/>
  <c r="N49" i="15"/>
  <c r="N34" i="15"/>
  <c r="N27" i="14"/>
  <c r="N9" i="28" s="1"/>
  <c r="N12" i="14"/>
  <c r="N32" i="15"/>
  <c r="N15" i="15"/>
  <c r="N14" i="34" s="1"/>
  <c r="M9" i="28"/>
  <c r="O54" i="6"/>
  <c r="O61" i="6"/>
  <c r="O67" i="6"/>
  <c r="P26" i="31"/>
  <c r="Q11" i="21"/>
  <c r="Q13" i="21" s="1"/>
  <c r="P29" i="9"/>
  <c r="K16" i="37"/>
  <c r="K71" i="12"/>
  <c r="K73" i="12" s="1"/>
  <c r="K63" i="12"/>
  <c r="K65" i="12" s="1"/>
  <c r="P18" i="37"/>
  <c r="P22" i="13"/>
  <c r="P30" i="13"/>
  <c r="P84" i="12"/>
  <c r="P62" i="12"/>
  <c r="P40" i="12"/>
  <c r="P41" i="12" s="1"/>
  <c r="P32" i="12"/>
  <c r="P33" i="12" s="1"/>
  <c r="P13" i="10"/>
  <c r="P14" i="10" s="1"/>
  <c r="M9" i="19"/>
  <c r="M30" i="15"/>
  <c r="Q59" i="20"/>
  <c r="Q53" i="20"/>
  <c r="Q54" i="20" s="1"/>
  <c r="Q58" i="20" s="1"/>
  <c r="Q283" i="6"/>
  <c r="Q250" i="6"/>
  <c r="Q234" i="6"/>
  <c r="Q242" i="6"/>
  <c r="Q183" i="6"/>
  <c r="Q290" i="6"/>
  <c r="Q291" i="6" s="1"/>
  <c r="Q121" i="6"/>
  <c r="Q18" i="6"/>
  <c r="Q19" i="6" s="1"/>
  <c r="Q2" i="4" s="1"/>
  <c r="Q29" i="17"/>
  <c r="Q18" i="34" s="1"/>
  <c r="Q14" i="17"/>
  <c r="L20" i="34"/>
  <c r="O162" i="6"/>
  <c r="O141" i="6"/>
  <c r="N19" i="37"/>
  <c r="O83" i="12"/>
  <c r="O85" i="12" s="1"/>
  <c r="M14" i="34"/>
  <c r="P2" i="40"/>
  <c r="P2" i="37"/>
  <c r="P2" i="34"/>
  <c r="P2" i="31"/>
  <c r="P2" i="28"/>
  <c r="P2" i="22"/>
  <c r="P2" i="21"/>
  <c r="P60" i="20"/>
  <c r="P61" i="20" s="1"/>
  <c r="P67" i="20" s="1"/>
  <c r="P2" i="20"/>
  <c r="P2" i="18"/>
  <c r="P2" i="19"/>
  <c r="P2" i="17"/>
  <c r="P2" i="16"/>
  <c r="P2" i="15"/>
  <c r="P2" i="14"/>
  <c r="P2" i="13"/>
  <c r="P2" i="12"/>
  <c r="P2" i="11"/>
  <c r="P2" i="10"/>
  <c r="P2" i="9"/>
  <c r="P241" i="6"/>
  <c r="P243" i="6" s="1"/>
  <c r="P20" i="16" s="1"/>
  <c r="P176" i="6"/>
  <c r="P177" i="6" s="1"/>
  <c r="P2" i="8"/>
  <c r="P282" i="6"/>
  <c r="P284" i="6" s="1"/>
  <c r="P249" i="6"/>
  <c r="P251" i="6" s="1"/>
  <c r="P21" i="18" s="1"/>
  <c r="P2" i="7"/>
  <c r="P233" i="6"/>
  <c r="P235" i="6" s="1"/>
  <c r="P209" i="6"/>
  <c r="P120" i="6"/>
  <c r="P122" i="6" s="1"/>
  <c r="P127" i="6" s="1"/>
  <c r="P128" i="6" s="1"/>
  <c r="P132" i="6" s="1"/>
  <c r="P32" i="6"/>
  <c r="P114" i="6"/>
  <c r="P115" i="6" s="1"/>
  <c r="P92" i="6"/>
  <c r="P313" i="6"/>
  <c r="Q314" i="6" s="1"/>
  <c r="P182" i="6"/>
  <c r="P184" i="6" s="1"/>
  <c r="P189" i="6" s="1"/>
  <c r="P190" i="6" s="1"/>
  <c r="P194" i="6" s="1"/>
  <c r="P319" i="6"/>
  <c r="P321" i="6" s="1"/>
  <c r="P147" i="6"/>
  <c r="P52" i="6"/>
  <c r="P2" i="6"/>
  <c r="P72" i="6"/>
  <c r="Q74" i="6"/>
  <c r="Q81" i="6"/>
  <c r="Q87" i="6"/>
  <c r="Q26" i="31" l="1"/>
  <c r="R11" i="21"/>
  <c r="R13" i="21" s="1"/>
  <c r="Q29" i="9"/>
  <c r="P276" i="6"/>
  <c r="P277" i="6" s="1"/>
  <c r="P13" i="37"/>
  <c r="P20" i="18"/>
  <c r="P22" i="18" s="1"/>
  <c r="P49" i="12"/>
  <c r="P61" i="12"/>
  <c r="K41" i="16"/>
  <c r="K45" i="16"/>
  <c r="K46" i="16" s="1"/>
  <c r="K32" i="16"/>
  <c r="O132" i="6"/>
  <c r="R74" i="6"/>
  <c r="R81" i="6"/>
  <c r="R87" i="6"/>
  <c r="P162" i="6"/>
  <c r="P141" i="6"/>
  <c r="Q2" i="40"/>
  <c r="Q2" i="37"/>
  <c r="Q2" i="34"/>
  <c r="Q2" i="31"/>
  <c r="Q2" i="28"/>
  <c r="Q2" i="22"/>
  <c r="Q2" i="21"/>
  <c r="Q60" i="20"/>
  <c r="Q2" i="20"/>
  <c r="Q2" i="19"/>
  <c r="Q2" i="18"/>
  <c r="Q2" i="16"/>
  <c r="Q2" i="17"/>
  <c r="Q2" i="14"/>
  <c r="Q2" i="15"/>
  <c r="Q2" i="13"/>
  <c r="Q2" i="12"/>
  <c r="Q2" i="11"/>
  <c r="Q2" i="10"/>
  <c r="Q2" i="8"/>
  <c r="Q282" i="6"/>
  <c r="Q284" i="6" s="1"/>
  <c r="Q276" i="6" s="1"/>
  <c r="Q277" i="6" s="1"/>
  <c r="Q270" i="6" s="1"/>
  <c r="Q249" i="6"/>
  <c r="Q251" i="6" s="1"/>
  <c r="Q21" i="18" s="1"/>
  <c r="Q2" i="7"/>
  <c r="Q233" i="6"/>
  <c r="Q235" i="6" s="1"/>
  <c r="Q21" i="17" s="1"/>
  <c r="Q2" i="9"/>
  <c r="Q319" i="6"/>
  <c r="Q321" i="6" s="1"/>
  <c r="Q313" i="6"/>
  <c r="R314" i="6" s="1"/>
  <c r="Q120" i="6"/>
  <c r="Q122" i="6" s="1"/>
  <c r="Q127" i="6" s="1"/>
  <c r="Q128" i="6" s="1"/>
  <c r="Q132" i="6" s="1"/>
  <c r="Q114" i="6"/>
  <c r="Q115" i="6" s="1"/>
  <c r="Q92" i="6"/>
  <c r="Q241" i="6"/>
  <c r="Q243" i="6" s="1"/>
  <c r="Q20" i="16" s="1"/>
  <c r="Q52" i="6"/>
  <c r="Q182" i="6"/>
  <c r="Q184" i="6" s="1"/>
  <c r="Q189" i="6" s="1"/>
  <c r="Q190" i="6" s="1"/>
  <c r="Q194" i="6" s="1"/>
  <c r="Q147" i="6"/>
  <c r="Q72" i="6"/>
  <c r="Q32" i="6"/>
  <c r="Q2" i="6"/>
  <c r="Q209" i="6"/>
  <c r="Q176" i="6"/>
  <c r="Q177" i="6" s="1"/>
  <c r="Q61" i="20"/>
  <c r="Q67" i="20" s="1"/>
  <c r="O29" i="15"/>
  <c r="O10" i="12"/>
  <c r="O11" i="12" s="1"/>
  <c r="N9" i="19"/>
  <c r="N30" i="15"/>
  <c r="K13" i="28"/>
  <c r="P224" i="6"/>
  <c r="P203" i="6"/>
  <c r="K15" i="37"/>
  <c r="L60" i="12"/>
  <c r="K42" i="18"/>
  <c r="K33" i="18"/>
  <c r="K46" i="18"/>
  <c r="K47" i="18" s="1"/>
  <c r="O17" i="34"/>
  <c r="O27" i="17"/>
  <c r="O12" i="17"/>
  <c r="R3" i="40"/>
  <c r="R3" i="37"/>
  <c r="R3" i="34"/>
  <c r="R3" i="31"/>
  <c r="R3" i="28"/>
  <c r="R3" i="21"/>
  <c r="R3" i="22"/>
  <c r="R3" i="20"/>
  <c r="R3" i="18"/>
  <c r="R3" i="19"/>
  <c r="R3" i="17"/>
  <c r="R3" i="16"/>
  <c r="R3" i="15"/>
  <c r="R3" i="13"/>
  <c r="R3" i="14"/>
  <c r="R3" i="12"/>
  <c r="R3" i="11"/>
  <c r="R3" i="10"/>
  <c r="R3" i="8"/>
  <c r="R3" i="9"/>
  <c r="R99" i="6"/>
  <c r="R3" i="7"/>
  <c r="R59" i="6"/>
  <c r="R79" i="6"/>
  <c r="R39" i="6"/>
  <c r="R3" i="6"/>
  <c r="Q40" i="12"/>
  <c r="Q41" i="12" s="1"/>
  <c r="Q32" i="12"/>
  <c r="Q33" i="12" s="1"/>
  <c r="Q13" i="10"/>
  <c r="Q14" i="10" s="1"/>
  <c r="K17" i="37"/>
  <c r="L70" i="12"/>
  <c r="K17" i="11"/>
  <c r="K18" i="11" s="1"/>
  <c r="K14" i="18"/>
  <c r="K29" i="18"/>
  <c r="L28" i="10"/>
  <c r="L12" i="37"/>
  <c r="L12" i="13"/>
  <c r="L13" i="13" s="1"/>
  <c r="M47" i="12"/>
  <c r="K16" i="28"/>
  <c r="L28" i="13"/>
  <c r="K32" i="13"/>
  <c r="K9" i="31" s="1"/>
  <c r="K31" i="12"/>
  <c r="K48" i="17"/>
  <c r="K34" i="17"/>
  <c r="K35" i="17" s="1"/>
  <c r="R53" i="20"/>
  <c r="R54" i="20" s="1"/>
  <c r="R58" i="20" s="1"/>
  <c r="R59" i="20"/>
  <c r="R250" i="6"/>
  <c r="R234" i="6"/>
  <c r="R242" i="6"/>
  <c r="R290" i="6"/>
  <c r="R291" i="6" s="1"/>
  <c r="R183" i="6"/>
  <c r="R283" i="6"/>
  <c r="R121" i="6"/>
  <c r="R18" i="6"/>
  <c r="R19" i="6" s="1"/>
  <c r="R2" i="4" s="1"/>
  <c r="R41" i="6"/>
  <c r="R34" i="6"/>
  <c r="R47" i="6"/>
  <c r="P54" i="6"/>
  <c r="P61" i="6"/>
  <c r="P67" i="6"/>
  <c r="P21" i="17"/>
  <c r="O21" i="34"/>
  <c r="O12" i="18"/>
  <c r="Q18" i="37"/>
  <c r="Q62" i="12"/>
  <c r="Q22" i="13"/>
  <c r="Q30" i="13"/>
  <c r="Q84" i="12"/>
  <c r="M11" i="13"/>
  <c r="M23" i="13"/>
  <c r="O15" i="15"/>
  <c r="O32" i="15"/>
  <c r="S4" i="40"/>
  <c r="S4" i="37"/>
  <c r="S4" i="34"/>
  <c r="S4" i="31"/>
  <c r="S4" i="28"/>
  <c r="S74" i="20"/>
  <c r="S4" i="22"/>
  <c r="S4" i="21"/>
  <c r="S10" i="21"/>
  <c r="S32" i="20"/>
  <c r="S4" i="20"/>
  <c r="S10" i="18"/>
  <c r="S4" i="19"/>
  <c r="S28" i="19"/>
  <c r="S4" i="18"/>
  <c r="S4" i="17"/>
  <c r="S10" i="17"/>
  <c r="S4" i="16"/>
  <c r="S28" i="17"/>
  <c r="S10" i="16"/>
  <c r="S4" i="15"/>
  <c r="S27" i="15"/>
  <c r="S40" i="15"/>
  <c r="S4" i="14"/>
  <c r="S59" i="12"/>
  <c r="S18" i="12"/>
  <c r="S19" i="13"/>
  <c r="S27" i="13"/>
  <c r="S4" i="13"/>
  <c r="S46" i="12"/>
  <c r="S82" i="12"/>
  <c r="S69" i="12"/>
  <c r="S4" i="11"/>
  <c r="S19" i="10"/>
  <c r="S12" i="10"/>
  <c r="S4" i="10"/>
  <c r="S4" i="12"/>
  <c r="S259" i="6"/>
  <c r="S4" i="9"/>
  <c r="S336" i="6"/>
  <c r="S337" i="6" s="1"/>
  <c r="S275" i="6"/>
  <c r="S4" i="7"/>
  <c r="S351" i="6"/>
  <c r="S352" i="6" s="1"/>
  <c r="S301" i="6"/>
  <c r="S302" i="6" s="1"/>
  <c r="S23" i="11"/>
  <c r="S35" i="9"/>
  <c r="S320" i="6"/>
  <c r="S10" i="9"/>
  <c r="S312" i="6"/>
  <c r="S4" i="8"/>
  <c r="S331" i="6"/>
  <c r="S332" i="6" s="1"/>
  <c r="S188" i="6"/>
  <c r="S106" i="6"/>
  <c r="S53" i="6"/>
  <c r="S60" i="6"/>
  <c r="S346" i="6"/>
  <c r="S347" i="6" s="1"/>
  <c r="S66" i="6"/>
  <c r="S73" i="6"/>
  <c r="S202" i="6"/>
  <c r="S80" i="6"/>
  <c r="S140" i="6"/>
  <c r="S86" i="6"/>
  <c r="S93" i="6"/>
  <c r="S40" i="6"/>
  <c r="T28" i="6"/>
  <c r="T4" i="4" s="1"/>
  <c r="S46" i="6"/>
  <c r="S11" i="6"/>
  <c r="S12" i="6" s="1"/>
  <c r="S4" i="6"/>
  <c r="S33" i="6"/>
  <c r="S100" i="6"/>
  <c r="S296" i="6"/>
  <c r="S297" i="6" s="1"/>
  <c r="S126" i="6"/>
  <c r="S23" i="6"/>
  <c r="S24" i="6" s="1"/>
  <c r="S3" i="4" s="1"/>
  <c r="S35" i="10"/>
  <c r="R107" i="6"/>
  <c r="R94" i="6"/>
  <c r="R101" i="6"/>
  <c r="R14" i="17"/>
  <c r="R29" i="17"/>
  <c r="R18" i="34" s="1"/>
  <c r="P8" i="37"/>
  <c r="P16" i="12"/>
  <c r="P41" i="10"/>
  <c r="P43" i="10" s="1"/>
  <c r="P25" i="14" s="1"/>
  <c r="P26" i="14" s="1"/>
  <c r="P34" i="10"/>
  <c r="P21" i="10"/>
  <c r="K21" i="19"/>
  <c r="K21" i="15"/>
  <c r="M22" i="15" s="1"/>
  <c r="K43" i="15"/>
  <c r="K45" i="15" s="1"/>
  <c r="O19" i="37"/>
  <c r="P83" i="12"/>
  <c r="P85" i="12" s="1"/>
  <c r="P11" i="37"/>
  <c r="P20" i="17"/>
  <c r="P13" i="15"/>
  <c r="P14" i="15" s="1"/>
  <c r="P21" i="13"/>
  <c r="P39" i="12"/>
  <c r="P48" i="12"/>
  <c r="P17" i="9"/>
  <c r="P18" i="9" s="1"/>
  <c r="R9" i="37"/>
  <c r="R22" i="10"/>
  <c r="R42" i="10"/>
  <c r="R17" i="12"/>
  <c r="R14" i="37"/>
  <c r="R76" i="12"/>
  <c r="R77" i="12" s="1"/>
  <c r="R64" i="12"/>
  <c r="R72" i="12"/>
  <c r="O49" i="15"/>
  <c r="O12" i="14"/>
  <c r="O34" i="15"/>
  <c r="O27" i="14"/>
  <c r="K10" i="31" l="1"/>
  <c r="L41" i="15"/>
  <c r="K13" i="17"/>
  <c r="K15" i="17" s="1"/>
  <c r="M8" i="34"/>
  <c r="M44" i="15"/>
  <c r="R18" i="37"/>
  <c r="R62" i="12"/>
  <c r="R22" i="13"/>
  <c r="R30" i="13"/>
  <c r="R84" i="12"/>
  <c r="M8" i="31"/>
  <c r="N20" i="13"/>
  <c r="K8" i="28"/>
  <c r="K19" i="16"/>
  <c r="K21" i="16" s="1"/>
  <c r="K26" i="11"/>
  <c r="K27" i="11" s="1"/>
  <c r="K18" i="28"/>
  <c r="P15" i="15"/>
  <c r="P32" i="15"/>
  <c r="R40" i="12"/>
  <c r="R41" i="12" s="1"/>
  <c r="R32" i="12"/>
  <c r="R33" i="12" s="1"/>
  <c r="R13" i="10"/>
  <c r="R14" i="10" s="1"/>
  <c r="K23" i="34"/>
  <c r="O9" i="19"/>
  <c r="O30" i="15"/>
  <c r="Q162" i="6"/>
  <c r="Q141" i="6"/>
  <c r="K47" i="16"/>
  <c r="K33" i="16"/>
  <c r="K34" i="16" s="1"/>
  <c r="P270" i="6"/>
  <c r="P21" i="34"/>
  <c r="P12" i="18"/>
  <c r="O9" i="28"/>
  <c r="P34" i="15"/>
  <c r="P27" i="14"/>
  <c r="P49" i="15"/>
  <c r="P12" i="14"/>
  <c r="K22" i="34"/>
  <c r="K17" i="28"/>
  <c r="S9" i="37"/>
  <c r="S17" i="12"/>
  <c r="S22" i="10"/>
  <c r="S42" i="10"/>
  <c r="S53" i="20"/>
  <c r="S54" i="20" s="1"/>
  <c r="S58" i="20" s="1"/>
  <c r="S59" i="20"/>
  <c r="S234" i="6"/>
  <c r="S242" i="6"/>
  <c r="S290" i="6"/>
  <c r="S291" i="6" s="1"/>
  <c r="S283" i="6"/>
  <c r="S250" i="6"/>
  <c r="S121" i="6"/>
  <c r="S18" i="6"/>
  <c r="S19" i="6" s="1"/>
  <c r="S2" i="4" s="1"/>
  <c r="S183" i="6"/>
  <c r="S47" i="6"/>
  <c r="S41" i="6"/>
  <c r="S34" i="6"/>
  <c r="O14" i="34"/>
  <c r="M25" i="12"/>
  <c r="M50" i="12"/>
  <c r="Q8" i="37"/>
  <c r="Q16" i="12"/>
  <c r="Q34" i="10"/>
  <c r="Q21" i="10"/>
  <c r="Q41" i="10"/>
  <c r="Q43" i="10" s="1"/>
  <c r="Q25" i="14" s="1"/>
  <c r="Q26" i="14" s="1"/>
  <c r="S94" i="6"/>
  <c r="S101" i="6"/>
  <c r="S107" i="6"/>
  <c r="L29" i="13"/>
  <c r="L31" i="13" s="1"/>
  <c r="L14" i="13"/>
  <c r="Q11" i="37"/>
  <c r="Q20" i="17"/>
  <c r="Q13" i="15"/>
  <c r="Q14" i="15" s="1"/>
  <c r="Q21" i="13"/>
  <c r="Q39" i="12"/>
  <c r="Q48" i="12"/>
  <c r="Q17" i="9"/>
  <c r="Q18" i="9" s="1"/>
  <c r="Q54" i="6"/>
  <c r="Q61" i="6"/>
  <c r="Q67" i="6"/>
  <c r="P29" i="15"/>
  <c r="P10" i="12"/>
  <c r="P11" i="12" s="1"/>
  <c r="P19" i="37"/>
  <c r="Q83" i="12"/>
  <c r="Q85" i="12" s="1"/>
  <c r="S3" i="40"/>
  <c r="S3" i="37"/>
  <c r="S3" i="34"/>
  <c r="S3" i="31"/>
  <c r="S3" i="28"/>
  <c r="S3" i="22"/>
  <c r="S3" i="21"/>
  <c r="S3" i="20"/>
  <c r="S3" i="18"/>
  <c r="S3" i="19"/>
  <c r="S3" i="17"/>
  <c r="S3" i="16"/>
  <c r="S3" i="15"/>
  <c r="S3" i="13"/>
  <c r="S3" i="14"/>
  <c r="S3" i="12"/>
  <c r="S3" i="11"/>
  <c r="S3" i="10"/>
  <c r="S3" i="8"/>
  <c r="S3" i="9"/>
  <c r="S3" i="7"/>
  <c r="S99" i="6"/>
  <c r="S59" i="6"/>
  <c r="S79" i="6"/>
  <c r="S3" i="6"/>
  <c r="S39" i="6"/>
  <c r="S14" i="37"/>
  <c r="S76" i="12"/>
  <c r="S77" i="12" s="1"/>
  <c r="S64" i="12"/>
  <c r="S72" i="12"/>
  <c r="R2" i="40"/>
  <c r="R2" i="37"/>
  <c r="R2" i="34"/>
  <c r="R2" i="31"/>
  <c r="R2" i="28"/>
  <c r="R2" i="22"/>
  <c r="R2" i="21"/>
  <c r="R60" i="20"/>
  <c r="R2" i="20"/>
  <c r="R2" i="19"/>
  <c r="R2" i="17"/>
  <c r="R2" i="18"/>
  <c r="R2" i="16"/>
  <c r="R2" i="14"/>
  <c r="R2" i="15"/>
  <c r="R2" i="13"/>
  <c r="R2" i="12"/>
  <c r="R2" i="11"/>
  <c r="R2" i="10"/>
  <c r="R282" i="6"/>
  <c r="R284" i="6" s="1"/>
  <c r="R276" i="6" s="1"/>
  <c r="R277" i="6" s="1"/>
  <c r="R270" i="6" s="1"/>
  <c r="R2" i="8"/>
  <c r="R249" i="6"/>
  <c r="R251" i="6" s="1"/>
  <c r="R21" i="18" s="1"/>
  <c r="R2" i="7"/>
  <c r="R233" i="6"/>
  <c r="R235" i="6" s="1"/>
  <c r="R21" i="17" s="1"/>
  <c r="R209" i="6"/>
  <c r="R2" i="9"/>
  <c r="R319" i="6"/>
  <c r="R321" i="6" s="1"/>
  <c r="R313" i="6"/>
  <c r="R241" i="6"/>
  <c r="R243" i="6" s="1"/>
  <c r="R20" i="16" s="1"/>
  <c r="R182" i="6"/>
  <c r="R184" i="6" s="1"/>
  <c r="R189" i="6" s="1"/>
  <c r="R190" i="6" s="1"/>
  <c r="R114" i="6"/>
  <c r="R115" i="6" s="1"/>
  <c r="R92" i="6"/>
  <c r="R52" i="6"/>
  <c r="R147" i="6"/>
  <c r="R72" i="6"/>
  <c r="R176" i="6"/>
  <c r="R177" i="6" s="1"/>
  <c r="R2" i="6"/>
  <c r="R120" i="6"/>
  <c r="R122" i="6" s="1"/>
  <c r="R127" i="6" s="1"/>
  <c r="R128" i="6" s="1"/>
  <c r="R32" i="6"/>
  <c r="Q13" i="37"/>
  <c r="Q20" i="18"/>
  <c r="Q22" i="18" s="1"/>
  <c r="Q49" i="12"/>
  <c r="Q61" i="12"/>
  <c r="L27" i="10"/>
  <c r="L29" i="10" s="1"/>
  <c r="T4" i="40"/>
  <c r="T4" i="37"/>
  <c r="T4" i="34"/>
  <c r="T4" i="31"/>
  <c r="T4" i="28"/>
  <c r="T4" i="22"/>
  <c r="T10" i="21"/>
  <c r="T74" i="20"/>
  <c r="T32" i="20"/>
  <c r="T4" i="21"/>
  <c r="T4" i="20"/>
  <c r="T28" i="19"/>
  <c r="T4" i="19"/>
  <c r="T4" i="18"/>
  <c r="T4" i="17"/>
  <c r="T28" i="17"/>
  <c r="T10" i="17"/>
  <c r="T10" i="16"/>
  <c r="T10" i="18"/>
  <c r="T27" i="15"/>
  <c r="T40" i="15"/>
  <c r="T4" i="14"/>
  <c r="T4" i="16"/>
  <c r="T4" i="15"/>
  <c r="T19" i="13"/>
  <c r="T4" i="13"/>
  <c r="T59" i="12"/>
  <c r="T69" i="12"/>
  <c r="T82" i="12"/>
  <c r="T46" i="12"/>
  <c r="T12" i="10"/>
  <c r="T4" i="10"/>
  <c r="T4" i="9"/>
  <c r="T35" i="9"/>
  <c r="T27" i="13"/>
  <c r="T4" i="12"/>
  <c r="T10" i="9"/>
  <c r="T23" i="11"/>
  <c r="T19" i="10"/>
  <c r="T336" i="6"/>
  <c r="T337" i="6" s="1"/>
  <c r="T275" i="6"/>
  <c r="T4" i="7"/>
  <c r="T351" i="6"/>
  <c r="T352" i="6" s="1"/>
  <c r="T301" i="6"/>
  <c r="T302" i="6" s="1"/>
  <c r="T320" i="6"/>
  <c r="T202" i="6"/>
  <c r="T312" i="6"/>
  <c r="T4" i="8"/>
  <c r="T331" i="6"/>
  <c r="T332" i="6" s="1"/>
  <c r="T346" i="6"/>
  <c r="T347" i="6" s="1"/>
  <c r="T296" i="6"/>
  <c r="T297" i="6" s="1"/>
  <c r="T18" i="12"/>
  <c r="T60" i="6"/>
  <c r="T66" i="6"/>
  <c r="T73" i="6"/>
  <c r="T80" i="6"/>
  <c r="T4" i="11"/>
  <c r="T140" i="6"/>
  <c r="T86" i="6"/>
  <c r="T188" i="6"/>
  <c r="T93" i="6"/>
  <c r="T259" i="6"/>
  <c r="T126" i="6"/>
  <c r="T100" i="6"/>
  <c r="T46" i="6"/>
  <c r="U28" i="6"/>
  <c r="U4" i="4" s="1"/>
  <c r="T11" i="6"/>
  <c r="T12" i="6" s="1"/>
  <c r="T4" i="6"/>
  <c r="T106" i="6"/>
  <c r="T53" i="6"/>
  <c r="T33" i="6"/>
  <c r="T40" i="6"/>
  <c r="T23" i="6"/>
  <c r="T24" i="6" s="1"/>
  <c r="T3" i="4" s="1"/>
  <c r="T35" i="10"/>
  <c r="S314" i="6"/>
  <c r="S14" i="17"/>
  <c r="S29" i="17"/>
  <c r="S18" i="34" s="1"/>
  <c r="R61" i="20"/>
  <c r="R67" i="20" s="1"/>
  <c r="K48" i="18"/>
  <c r="K34" i="18"/>
  <c r="Q224" i="6"/>
  <c r="Q203" i="6"/>
  <c r="Q22" i="17"/>
  <c r="S74" i="6"/>
  <c r="S81" i="6"/>
  <c r="S87" i="6"/>
  <c r="P22" i="17"/>
  <c r="K35" i="18"/>
  <c r="R26" i="31"/>
  <c r="S11" i="21"/>
  <c r="S13" i="21" s="1"/>
  <c r="R29" i="9"/>
  <c r="K13" i="16" l="1"/>
  <c r="Q21" i="34"/>
  <c r="Q12" i="18"/>
  <c r="M28" i="13"/>
  <c r="L32" i="13"/>
  <c r="S26" i="31"/>
  <c r="T11" i="21"/>
  <c r="S29" i="9"/>
  <c r="K13" i="18"/>
  <c r="K15" i="18" s="1"/>
  <c r="K25" i="34"/>
  <c r="T29" i="17"/>
  <c r="T18" i="34" s="1"/>
  <c r="T14" i="17"/>
  <c r="R194" i="6"/>
  <c r="K14" i="31"/>
  <c r="L24" i="11"/>
  <c r="Q32" i="15"/>
  <c r="Q15" i="15"/>
  <c r="S2" i="40"/>
  <c r="S2" i="37"/>
  <c r="S2" i="34"/>
  <c r="S2" i="31"/>
  <c r="S2" i="28"/>
  <c r="S2" i="21"/>
  <c r="S2" i="22"/>
  <c r="S60" i="20"/>
  <c r="S2" i="20"/>
  <c r="S2" i="19"/>
  <c r="S2" i="16"/>
  <c r="S2" i="18"/>
  <c r="S2" i="17"/>
  <c r="S2" i="15"/>
  <c r="S2" i="14"/>
  <c r="S2" i="13"/>
  <c r="S2" i="11"/>
  <c r="S2" i="10"/>
  <c r="S2" i="8"/>
  <c r="S249" i="6"/>
  <c r="S251" i="6" s="1"/>
  <c r="S21" i="18" s="1"/>
  <c r="S2" i="7"/>
  <c r="S233" i="6"/>
  <c r="S235" i="6" s="1"/>
  <c r="S21" i="17" s="1"/>
  <c r="S209" i="6"/>
  <c r="S2" i="12"/>
  <c r="S2" i="9"/>
  <c r="S319" i="6"/>
  <c r="S321" i="6" s="1"/>
  <c r="S313" i="6"/>
  <c r="T314" i="6" s="1"/>
  <c r="S241" i="6"/>
  <c r="S243" i="6" s="1"/>
  <c r="S20" i="16" s="1"/>
  <c r="S52" i="6"/>
  <c r="S182" i="6"/>
  <c r="S184" i="6" s="1"/>
  <c r="S189" i="6" s="1"/>
  <c r="S190" i="6" s="1"/>
  <c r="S194" i="6" s="1"/>
  <c r="S147" i="6"/>
  <c r="S72" i="6"/>
  <c r="S176" i="6"/>
  <c r="S177" i="6" s="1"/>
  <c r="S120" i="6"/>
  <c r="S122" i="6" s="1"/>
  <c r="S127" i="6" s="1"/>
  <c r="S128" i="6" s="1"/>
  <c r="S132" i="6" s="1"/>
  <c r="S32" i="6"/>
  <c r="S2" i="6"/>
  <c r="S282" i="6"/>
  <c r="S284" i="6" s="1"/>
  <c r="S276" i="6" s="1"/>
  <c r="S277" i="6" s="1"/>
  <c r="S270" i="6" s="1"/>
  <c r="S114" i="6"/>
  <c r="S115" i="6" s="1"/>
  <c r="S92" i="6"/>
  <c r="S61" i="20"/>
  <c r="S67" i="20" s="1"/>
  <c r="P14" i="34"/>
  <c r="K19" i="34"/>
  <c r="K26" i="16"/>
  <c r="M27" i="16" s="1"/>
  <c r="K12" i="16"/>
  <c r="K15" i="16" s="1"/>
  <c r="T9" i="37"/>
  <c r="T17" i="12"/>
  <c r="T22" i="10"/>
  <c r="T42" i="10"/>
  <c r="T14" i="37"/>
  <c r="T72" i="12"/>
  <c r="T64" i="12"/>
  <c r="T76" i="12"/>
  <c r="T77" i="12" s="1"/>
  <c r="T34" i="6"/>
  <c r="T47" i="6"/>
  <c r="T41" i="6"/>
  <c r="T13" i="21"/>
  <c r="R224" i="6"/>
  <c r="R203" i="6"/>
  <c r="Q19" i="37"/>
  <c r="R83" i="12"/>
  <c r="R85" i="12" s="1"/>
  <c r="Q49" i="15"/>
  <c r="Q12" i="14"/>
  <c r="Q34" i="15"/>
  <c r="Q27" i="14"/>
  <c r="K16" i="31"/>
  <c r="L11" i="17"/>
  <c r="Q17" i="34"/>
  <c r="Q27" i="17"/>
  <c r="Q12" i="17"/>
  <c r="T59" i="20"/>
  <c r="T53" i="20"/>
  <c r="T54" i="20" s="1"/>
  <c r="T58" i="20" s="1"/>
  <c r="T234" i="6"/>
  <c r="T242" i="6"/>
  <c r="T183" i="6"/>
  <c r="T290" i="6"/>
  <c r="T291" i="6" s="1"/>
  <c r="T283" i="6"/>
  <c r="T250" i="6"/>
  <c r="T121" i="6"/>
  <c r="T18" i="6"/>
  <c r="T19" i="6" s="1"/>
  <c r="T2" i="4" s="1"/>
  <c r="T94" i="6"/>
  <c r="T101" i="6"/>
  <c r="T107" i="6"/>
  <c r="R54" i="6"/>
  <c r="R61" i="6"/>
  <c r="R67" i="6"/>
  <c r="S18" i="37"/>
  <c r="S22" i="13"/>
  <c r="S30" i="13"/>
  <c r="S84" i="12"/>
  <c r="S62" i="12"/>
  <c r="T3" i="40"/>
  <c r="T3" i="37"/>
  <c r="T3" i="34"/>
  <c r="T3" i="31"/>
  <c r="T3" i="28"/>
  <c r="T3" i="22"/>
  <c r="T3" i="21"/>
  <c r="T3" i="20"/>
  <c r="T3" i="18"/>
  <c r="T3" i="19"/>
  <c r="T3" i="17"/>
  <c r="T3" i="16"/>
  <c r="T3" i="15"/>
  <c r="T3" i="13"/>
  <c r="T3" i="14"/>
  <c r="T3" i="12"/>
  <c r="T3" i="11"/>
  <c r="T3" i="10"/>
  <c r="T3" i="9"/>
  <c r="T3" i="8"/>
  <c r="T3" i="7"/>
  <c r="T59" i="6"/>
  <c r="T79" i="6"/>
  <c r="T39" i="6"/>
  <c r="T99" i="6"/>
  <c r="T3" i="6"/>
  <c r="U4" i="40"/>
  <c r="U4" i="37"/>
  <c r="U4" i="34"/>
  <c r="U4" i="31"/>
  <c r="U4" i="22"/>
  <c r="U4" i="21"/>
  <c r="U10" i="21"/>
  <c r="U4" i="28"/>
  <c r="U74" i="20"/>
  <c r="U4" i="20"/>
  <c r="U28" i="19"/>
  <c r="U32" i="20"/>
  <c r="U4" i="19"/>
  <c r="U4" i="18"/>
  <c r="U4" i="17"/>
  <c r="U28" i="17"/>
  <c r="U10" i="18"/>
  <c r="U4" i="16"/>
  <c r="U10" i="17"/>
  <c r="U40" i="15"/>
  <c r="U10" i="16"/>
  <c r="U4" i="15"/>
  <c r="U27" i="15"/>
  <c r="U4" i="14"/>
  <c r="U27" i="13"/>
  <c r="U82" i="12"/>
  <c r="U19" i="13"/>
  <c r="U69" i="12"/>
  <c r="U46" i="12"/>
  <c r="U59" i="12"/>
  <c r="U12" i="10"/>
  <c r="U4" i="10"/>
  <c r="U35" i="9"/>
  <c r="U4" i="8"/>
  <c r="U4" i="12"/>
  <c r="U4" i="13"/>
  <c r="U23" i="11"/>
  <c r="U18" i="12"/>
  <c r="U4" i="11"/>
  <c r="U19" i="10"/>
  <c r="U4" i="9"/>
  <c r="U4" i="7"/>
  <c r="U351" i="6"/>
  <c r="U352" i="6" s="1"/>
  <c r="U301" i="6"/>
  <c r="U302" i="6" s="1"/>
  <c r="U320" i="6"/>
  <c r="U202" i="6"/>
  <c r="U10" i="9"/>
  <c r="U312" i="6"/>
  <c r="U331" i="6"/>
  <c r="U332" i="6" s="1"/>
  <c r="U346" i="6"/>
  <c r="U347" i="6" s="1"/>
  <c r="U296" i="6"/>
  <c r="U297" i="6" s="1"/>
  <c r="U259" i="6"/>
  <c r="U66" i="6"/>
  <c r="U73" i="6"/>
  <c r="U336" i="6"/>
  <c r="U337" i="6" s="1"/>
  <c r="U275" i="6"/>
  <c r="U80" i="6"/>
  <c r="U4" i="6"/>
  <c r="U140" i="6"/>
  <c r="U86" i="6"/>
  <c r="U33" i="6"/>
  <c r="U188" i="6"/>
  <c r="U93" i="6"/>
  <c r="U126" i="6"/>
  <c r="U100" i="6"/>
  <c r="U46" i="6"/>
  <c r="U106" i="6"/>
  <c r="U53" i="6"/>
  <c r="U23" i="6"/>
  <c r="U24" i="6" s="1"/>
  <c r="U3" i="4" s="1"/>
  <c r="V28" i="6"/>
  <c r="V4" i="4" s="1"/>
  <c r="U11" i="6"/>
  <c r="U12" i="6" s="1"/>
  <c r="U40" i="6"/>
  <c r="U60" i="6"/>
  <c r="U35" i="10"/>
  <c r="P9" i="19"/>
  <c r="P30" i="15"/>
  <c r="K24" i="34"/>
  <c r="R8" i="37"/>
  <c r="R16" i="12"/>
  <c r="R34" i="10"/>
  <c r="R21" i="10"/>
  <c r="R41" i="10"/>
  <c r="R43" i="10" s="1"/>
  <c r="R25" i="14" s="1"/>
  <c r="R26" i="14" s="1"/>
  <c r="Q29" i="15"/>
  <c r="Q10" i="12"/>
  <c r="Q11" i="12" s="1"/>
  <c r="L13" i="28"/>
  <c r="S32" i="12"/>
  <c r="S33" i="12" s="1"/>
  <c r="S40" i="12"/>
  <c r="S41" i="12" s="1"/>
  <c r="S13" i="10"/>
  <c r="S14" i="10" s="1"/>
  <c r="P9" i="28"/>
  <c r="R11" i="37"/>
  <c r="R20" i="17"/>
  <c r="R22" i="17" s="1"/>
  <c r="R13" i="15"/>
  <c r="R14" i="15" s="1"/>
  <c r="R21" i="13"/>
  <c r="R39" i="12"/>
  <c r="R48" i="12"/>
  <c r="R17" i="9"/>
  <c r="R18" i="9" s="1"/>
  <c r="P17" i="34"/>
  <c r="P12" i="17"/>
  <c r="P27" i="17"/>
  <c r="T74" i="6"/>
  <c r="T81" i="6"/>
  <c r="T87" i="6"/>
  <c r="L53" i="12"/>
  <c r="L54" i="12" s="1"/>
  <c r="L11" i="11"/>
  <c r="L12" i="11" s="1"/>
  <c r="L23" i="10"/>
  <c r="L24" i="10" s="1"/>
  <c r="R13" i="37"/>
  <c r="R20" i="18"/>
  <c r="R22" i="18" s="1"/>
  <c r="R49" i="12"/>
  <c r="R61" i="12"/>
  <c r="N11" i="13"/>
  <c r="N23" i="13"/>
  <c r="R132" i="6"/>
  <c r="R162" i="6"/>
  <c r="R141" i="6"/>
  <c r="M12" i="37"/>
  <c r="M12" i="13"/>
  <c r="M13" i="13" s="1"/>
  <c r="N47" i="12"/>
  <c r="R21" i="34" l="1"/>
  <c r="R12" i="18"/>
  <c r="R17" i="34"/>
  <c r="R27" i="17"/>
  <c r="R12" i="17"/>
  <c r="S8" i="37"/>
  <c r="S34" i="10"/>
  <c r="S21" i="10"/>
  <c r="S41" i="10"/>
  <c r="S43" i="10" s="1"/>
  <c r="S25" i="14" s="1"/>
  <c r="S26" i="14" s="1"/>
  <c r="S16" i="12"/>
  <c r="V4" i="40"/>
  <c r="V4" i="37"/>
  <c r="V4" i="34"/>
  <c r="V4" i="31"/>
  <c r="V4" i="28"/>
  <c r="V4" i="21"/>
  <c r="V4" i="22"/>
  <c r="V10" i="21"/>
  <c r="V74" i="20"/>
  <c r="V4" i="20"/>
  <c r="V28" i="19"/>
  <c r="V32" i="20"/>
  <c r="V4" i="18"/>
  <c r="V28" i="17"/>
  <c r="V10" i="18"/>
  <c r="V10" i="17"/>
  <c r="V4" i="19"/>
  <c r="V10" i="16"/>
  <c r="V27" i="15"/>
  <c r="V40" i="15"/>
  <c r="V4" i="16"/>
  <c r="V4" i="17"/>
  <c r="V4" i="14"/>
  <c r="V69" i="12"/>
  <c r="V4" i="15"/>
  <c r="V19" i="13"/>
  <c r="V4" i="13"/>
  <c r="V27" i="13"/>
  <c r="V4" i="12"/>
  <c r="V46" i="12"/>
  <c r="V59" i="12"/>
  <c r="V18" i="12"/>
  <c r="V23" i="11"/>
  <c r="V4" i="11"/>
  <c r="V19" i="10"/>
  <c r="V82" i="12"/>
  <c r="V320" i="6"/>
  <c r="V12" i="10"/>
  <c r="V4" i="10"/>
  <c r="V202" i="6"/>
  <c r="V35" i="9"/>
  <c r="V10" i="9"/>
  <c r="V312" i="6"/>
  <c r="V331" i="6"/>
  <c r="V332" i="6" s="1"/>
  <c r="V188" i="6"/>
  <c r="V4" i="8"/>
  <c r="V346" i="6"/>
  <c r="V347" i="6" s="1"/>
  <c r="V296" i="6"/>
  <c r="V297" i="6" s="1"/>
  <c r="V259" i="6"/>
  <c r="V336" i="6"/>
  <c r="V337" i="6" s="1"/>
  <c r="V275" i="6"/>
  <c r="V73" i="6"/>
  <c r="V80" i="6"/>
  <c r="V4" i="6"/>
  <c r="V4" i="9"/>
  <c r="V4" i="7"/>
  <c r="V140" i="6"/>
  <c r="V86" i="6"/>
  <c r="V33" i="6"/>
  <c r="V11" i="6"/>
  <c r="V12" i="6" s="1"/>
  <c r="V301" i="6"/>
  <c r="V302" i="6" s="1"/>
  <c r="V93" i="6"/>
  <c r="V40" i="6"/>
  <c r="W28" i="6"/>
  <c r="W4" i="4" s="1"/>
  <c r="V126" i="6"/>
  <c r="V100" i="6"/>
  <c r="V106" i="6"/>
  <c r="V53" i="6"/>
  <c r="V351" i="6"/>
  <c r="V352" i="6" s="1"/>
  <c r="V60" i="6"/>
  <c r="V46" i="6"/>
  <c r="V66" i="6"/>
  <c r="V23" i="6"/>
  <c r="V24" i="6" s="1"/>
  <c r="V3" i="4" s="1"/>
  <c r="V35" i="10"/>
  <c r="U14" i="37"/>
  <c r="U76" i="12"/>
  <c r="U77" i="12" s="1"/>
  <c r="U72" i="12"/>
  <c r="U64" i="12"/>
  <c r="U29" i="17"/>
  <c r="U18" i="34" s="1"/>
  <c r="U14" i="17"/>
  <c r="T40" i="12"/>
  <c r="T41" i="12" s="1"/>
  <c r="T13" i="10"/>
  <c r="T14" i="10" s="1"/>
  <c r="T32" i="12"/>
  <c r="T33" i="12" s="1"/>
  <c r="S61" i="6"/>
  <c r="S67" i="6"/>
  <c r="S54" i="6"/>
  <c r="L9" i="31"/>
  <c r="S13" i="37"/>
  <c r="S20" i="18"/>
  <c r="S22" i="18" s="1"/>
  <c r="S61" i="12"/>
  <c r="S49" i="12"/>
  <c r="U3" i="40"/>
  <c r="U3" i="37"/>
  <c r="U3" i="34"/>
  <c r="U3" i="31"/>
  <c r="U3" i="28"/>
  <c r="U3" i="22"/>
  <c r="U3" i="21"/>
  <c r="U3" i="20"/>
  <c r="U3" i="19"/>
  <c r="U3" i="18"/>
  <c r="U3" i="16"/>
  <c r="U3" i="17"/>
  <c r="U3" i="14"/>
  <c r="U3" i="15"/>
  <c r="U3" i="13"/>
  <c r="U3" i="12"/>
  <c r="U3" i="11"/>
  <c r="U3" i="10"/>
  <c r="U3" i="8"/>
  <c r="U3" i="7"/>
  <c r="U3" i="9"/>
  <c r="U59" i="6"/>
  <c r="U79" i="6"/>
  <c r="U99" i="6"/>
  <c r="U3" i="6"/>
  <c r="U39" i="6"/>
  <c r="Q9" i="28"/>
  <c r="T26" i="31"/>
  <c r="U11" i="21"/>
  <c r="U13" i="21" s="1"/>
  <c r="T29" i="9"/>
  <c r="K17" i="31"/>
  <c r="L11" i="16"/>
  <c r="S203" i="6"/>
  <c r="S224" i="6"/>
  <c r="R29" i="15"/>
  <c r="R10" i="12"/>
  <c r="R11" i="12" s="1"/>
  <c r="S11" i="37"/>
  <c r="S20" i="17"/>
  <c r="S22" i="17" s="1"/>
  <c r="S13" i="15"/>
  <c r="S14" i="15" s="1"/>
  <c r="S21" i="13"/>
  <c r="S39" i="12"/>
  <c r="S48" i="12"/>
  <c r="S17" i="9"/>
  <c r="S18" i="9" s="1"/>
  <c r="U9" i="37"/>
  <c r="U22" i="10"/>
  <c r="U42" i="10"/>
  <c r="U17" i="12"/>
  <c r="U34" i="6"/>
  <c r="U41" i="6"/>
  <c r="U47" i="6"/>
  <c r="M14" i="16"/>
  <c r="M28" i="16"/>
  <c r="K18" i="31"/>
  <c r="L11" i="18"/>
  <c r="N8" i="31"/>
  <c r="O20" i="13"/>
  <c r="Q9" i="19"/>
  <c r="Q30" i="15"/>
  <c r="U94" i="6"/>
  <c r="U101" i="6"/>
  <c r="U107" i="6"/>
  <c r="L40" i="17"/>
  <c r="L41" i="17" s="1"/>
  <c r="R19" i="37"/>
  <c r="S83" i="12"/>
  <c r="S85" i="12" s="1"/>
  <c r="S162" i="6"/>
  <c r="S141" i="6"/>
  <c r="Q14" i="34"/>
  <c r="N25" i="12"/>
  <c r="N50" i="12"/>
  <c r="L10" i="37"/>
  <c r="L24" i="12"/>
  <c r="L26" i="12" s="1"/>
  <c r="M20" i="10"/>
  <c r="T2" i="40"/>
  <c r="T2" i="37"/>
  <c r="T2" i="34"/>
  <c r="T2" i="31"/>
  <c r="T2" i="28"/>
  <c r="T2" i="22"/>
  <c r="T2" i="21"/>
  <c r="T2" i="20"/>
  <c r="T2" i="19"/>
  <c r="T2" i="18"/>
  <c r="T60" i="20"/>
  <c r="T61" i="20" s="1"/>
  <c r="T67" i="20" s="1"/>
  <c r="T2" i="17"/>
  <c r="T2" i="16"/>
  <c r="T2" i="14"/>
  <c r="T2" i="15"/>
  <c r="T2" i="13"/>
  <c r="T2" i="10"/>
  <c r="T2" i="9"/>
  <c r="T2" i="12"/>
  <c r="T2" i="7"/>
  <c r="T233" i="6"/>
  <c r="T235" i="6" s="1"/>
  <c r="T21" i="17" s="1"/>
  <c r="T209" i="6"/>
  <c r="T319" i="6"/>
  <c r="T321" i="6" s="1"/>
  <c r="T313" i="6"/>
  <c r="T241" i="6"/>
  <c r="T243" i="6" s="1"/>
  <c r="T20" i="16" s="1"/>
  <c r="T2" i="11"/>
  <c r="T282" i="6"/>
  <c r="T284" i="6" s="1"/>
  <c r="T276" i="6" s="1"/>
  <c r="T277" i="6" s="1"/>
  <c r="T270" i="6" s="1"/>
  <c r="T52" i="6"/>
  <c r="T2" i="8"/>
  <c r="T182" i="6"/>
  <c r="T184" i="6" s="1"/>
  <c r="T189" i="6" s="1"/>
  <c r="T190" i="6" s="1"/>
  <c r="T194" i="6" s="1"/>
  <c r="T147" i="6"/>
  <c r="T72" i="6"/>
  <c r="T176" i="6"/>
  <c r="T177" i="6" s="1"/>
  <c r="T249" i="6"/>
  <c r="T251" i="6" s="1"/>
  <c r="T21" i="18" s="1"/>
  <c r="T120" i="6"/>
  <c r="T122" i="6" s="1"/>
  <c r="T127" i="6" s="1"/>
  <c r="T128" i="6" s="1"/>
  <c r="T114" i="6"/>
  <c r="T115" i="6" s="1"/>
  <c r="T92" i="6"/>
  <c r="T2" i="6"/>
  <c r="T32" i="6"/>
  <c r="M29" i="13"/>
  <c r="M31" i="13" s="1"/>
  <c r="M14" i="13"/>
  <c r="L16" i="19"/>
  <c r="L17" i="19" s="1"/>
  <c r="L20" i="15"/>
  <c r="L42" i="15"/>
  <c r="L25" i="11"/>
  <c r="L16" i="37"/>
  <c r="L63" i="12"/>
  <c r="L65" i="12" s="1"/>
  <c r="L71" i="12"/>
  <c r="L73" i="12" s="1"/>
  <c r="R15" i="15"/>
  <c r="R14" i="34" s="1"/>
  <c r="R32" i="15"/>
  <c r="R34" i="15"/>
  <c r="R27" i="14"/>
  <c r="R9" i="28" s="1"/>
  <c r="R49" i="15"/>
  <c r="R12" i="14"/>
  <c r="U314" i="6"/>
  <c r="U53" i="20"/>
  <c r="U54" i="20" s="1"/>
  <c r="U58" i="20" s="1"/>
  <c r="U59" i="20"/>
  <c r="U242" i="6"/>
  <c r="U183" i="6"/>
  <c r="U290" i="6"/>
  <c r="U291" i="6" s="1"/>
  <c r="U283" i="6"/>
  <c r="U250" i="6"/>
  <c r="U234" i="6"/>
  <c r="U121" i="6"/>
  <c r="U18" i="6"/>
  <c r="U19" i="6" s="1"/>
  <c r="U2" i="4" s="1"/>
  <c r="U74" i="6"/>
  <c r="U81" i="6"/>
  <c r="U87" i="6"/>
  <c r="T18" i="37"/>
  <c r="T30" i="13"/>
  <c r="T84" i="12"/>
  <c r="T62" i="12"/>
  <c r="T22" i="13"/>
  <c r="N28" i="13" l="1"/>
  <c r="M32" i="13"/>
  <c r="M9" i="31" s="1"/>
  <c r="T162" i="6"/>
  <c r="T141" i="6"/>
  <c r="L21" i="19"/>
  <c r="L43" i="15"/>
  <c r="L21" i="15"/>
  <c r="T132" i="6"/>
  <c r="V9" i="37"/>
  <c r="V42" i="10"/>
  <c r="V17" i="12"/>
  <c r="V22" i="10"/>
  <c r="V53" i="20"/>
  <c r="V54" i="20" s="1"/>
  <c r="V58" i="20" s="1"/>
  <c r="V59" i="20"/>
  <c r="V242" i="6"/>
  <c r="V183" i="6"/>
  <c r="V290" i="6"/>
  <c r="V291" i="6" s="1"/>
  <c r="V283" i="6"/>
  <c r="V250" i="6"/>
  <c r="V234" i="6"/>
  <c r="V121" i="6"/>
  <c r="V18" i="6"/>
  <c r="V19" i="6" s="1"/>
  <c r="V2" i="4" s="1"/>
  <c r="V29" i="17"/>
  <c r="V18" i="34" s="1"/>
  <c r="V14" i="17"/>
  <c r="S21" i="34"/>
  <c r="S12" i="18"/>
  <c r="S17" i="34"/>
  <c r="S27" i="17"/>
  <c r="S12" i="17"/>
  <c r="R9" i="19"/>
  <c r="R30" i="15"/>
  <c r="U32" i="12"/>
  <c r="U33" i="12" s="1"/>
  <c r="U40" i="12"/>
  <c r="U41" i="12" s="1"/>
  <c r="U13" i="10"/>
  <c r="U14" i="10" s="1"/>
  <c r="U2" i="40"/>
  <c r="U2" i="37"/>
  <c r="U2" i="34"/>
  <c r="U2" i="31"/>
  <c r="U2" i="28"/>
  <c r="U2" i="21"/>
  <c r="U2" i="22"/>
  <c r="U60" i="20"/>
  <c r="U2" i="20"/>
  <c r="U2" i="19"/>
  <c r="U2" i="18"/>
  <c r="U2" i="17"/>
  <c r="U2" i="16"/>
  <c r="U2" i="15"/>
  <c r="U2" i="14"/>
  <c r="U2" i="13"/>
  <c r="U2" i="10"/>
  <c r="U2" i="8"/>
  <c r="U2" i="12"/>
  <c r="U2" i="11"/>
  <c r="U2" i="7"/>
  <c r="U233" i="6"/>
  <c r="U235" i="6" s="1"/>
  <c r="U21" i="17" s="1"/>
  <c r="U2" i="9"/>
  <c r="U319" i="6"/>
  <c r="U321" i="6" s="1"/>
  <c r="U313" i="6"/>
  <c r="V314" i="6" s="1"/>
  <c r="U241" i="6"/>
  <c r="U243" i="6" s="1"/>
  <c r="U20" i="16" s="1"/>
  <c r="U182" i="6"/>
  <c r="U184" i="6" s="1"/>
  <c r="U189" i="6" s="1"/>
  <c r="U190" i="6" s="1"/>
  <c r="U194" i="6" s="1"/>
  <c r="U282" i="6"/>
  <c r="U284" i="6" s="1"/>
  <c r="U276" i="6" s="1"/>
  <c r="U277" i="6" s="1"/>
  <c r="U270" i="6" s="1"/>
  <c r="U249" i="6"/>
  <c r="U251" i="6" s="1"/>
  <c r="U21" i="18" s="1"/>
  <c r="U147" i="6"/>
  <c r="U72" i="6"/>
  <c r="U176" i="6"/>
  <c r="U177" i="6" s="1"/>
  <c r="U120" i="6"/>
  <c r="U122" i="6" s="1"/>
  <c r="U127" i="6" s="1"/>
  <c r="U128" i="6" s="1"/>
  <c r="U132" i="6" s="1"/>
  <c r="U114" i="6"/>
  <c r="U115" i="6" s="1"/>
  <c r="U92" i="6"/>
  <c r="U209" i="6"/>
  <c r="U2" i="6"/>
  <c r="U52" i="6"/>
  <c r="U32" i="6"/>
  <c r="M13" i="28"/>
  <c r="T203" i="6"/>
  <c r="T224" i="6"/>
  <c r="N12" i="37"/>
  <c r="N12" i="13"/>
  <c r="N13" i="13" s="1"/>
  <c r="O47" i="12"/>
  <c r="M20" i="34"/>
  <c r="S29" i="15"/>
  <c r="S10" i="12"/>
  <c r="S11" i="12" s="1"/>
  <c r="V81" i="6"/>
  <c r="V87" i="6"/>
  <c r="V74" i="6"/>
  <c r="U61" i="20"/>
  <c r="U67" i="20" s="1"/>
  <c r="S19" i="37"/>
  <c r="T83" i="12"/>
  <c r="T85" i="12" s="1"/>
  <c r="O11" i="13"/>
  <c r="O23" i="13"/>
  <c r="U26" i="31"/>
  <c r="V11" i="21"/>
  <c r="V13" i="21" s="1"/>
  <c r="U29" i="9"/>
  <c r="L39" i="16"/>
  <c r="L40" i="16" s="1"/>
  <c r="U18" i="37"/>
  <c r="U30" i="13"/>
  <c r="U84" i="12"/>
  <c r="U62" i="12"/>
  <c r="U22" i="13"/>
  <c r="V3" i="40"/>
  <c r="V3" i="37"/>
  <c r="V3" i="34"/>
  <c r="V3" i="31"/>
  <c r="V3" i="28"/>
  <c r="V3" i="22"/>
  <c r="V3" i="21"/>
  <c r="V3" i="19"/>
  <c r="V3" i="20"/>
  <c r="V3" i="17"/>
  <c r="V3" i="18"/>
  <c r="V3" i="16"/>
  <c r="V3" i="15"/>
  <c r="V3" i="14"/>
  <c r="V3" i="13"/>
  <c r="V3" i="12"/>
  <c r="V3" i="11"/>
  <c r="V3" i="10"/>
  <c r="V3" i="8"/>
  <c r="V3" i="7"/>
  <c r="V3" i="9"/>
  <c r="V79" i="6"/>
  <c r="V99" i="6"/>
  <c r="V59" i="6"/>
  <c r="V3" i="6"/>
  <c r="V39" i="6"/>
  <c r="T67" i="6"/>
  <c r="T54" i="6"/>
  <c r="T61" i="6"/>
  <c r="W4" i="40"/>
  <c r="W4" i="37"/>
  <c r="W4" i="34"/>
  <c r="W4" i="31"/>
  <c r="W4" i="28"/>
  <c r="W4" i="22"/>
  <c r="W10" i="21"/>
  <c r="W4" i="21"/>
  <c r="W74" i="20"/>
  <c r="W4" i="20"/>
  <c r="W28" i="19"/>
  <c r="W4" i="18"/>
  <c r="W4" i="19"/>
  <c r="W28" i="17"/>
  <c r="W10" i="18"/>
  <c r="W32" i="20"/>
  <c r="W10" i="17"/>
  <c r="W40" i="15"/>
  <c r="W10" i="16"/>
  <c r="W4" i="17"/>
  <c r="W4" i="16"/>
  <c r="W4" i="14"/>
  <c r="W4" i="15"/>
  <c r="W27" i="15"/>
  <c r="W69" i="12"/>
  <c r="W19" i="13"/>
  <c r="W4" i="13"/>
  <c r="W27" i="13"/>
  <c r="W46" i="12"/>
  <c r="W82" i="12"/>
  <c r="W18" i="12"/>
  <c r="W59" i="12"/>
  <c r="W4" i="12"/>
  <c r="W23" i="11"/>
  <c r="W4" i="11"/>
  <c r="W19" i="10"/>
  <c r="W12" i="10"/>
  <c r="W4" i="10"/>
  <c r="W35" i="9"/>
  <c r="W10" i="9"/>
  <c r="W312" i="6"/>
  <c r="W331" i="6"/>
  <c r="W332" i="6" s="1"/>
  <c r="W188" i="6"/>
  <c r="W4" i="8"/>
  <c r="W346" i="6"/>
  <c r="W347" i="6" s="1"/>
  <c r="W296" i="6"/>
  <c r="W297" i="6" s="1"/>
  <c r="W259" i="6"/>
  <c r="W336" i="6"/>
  <c r="W337" i="6" s="1"/>
  <c r="W275" i="6"/>
  <c r="W4" i="9"/>
  <c r="W4" i="7"/>
  <c r="W351" i="6"/>
  <c r="W352" i="6" s="1"/>
  <c r="W301" i="6"/>
  <c r="W302" i="6" s="1"/>
  <c r="W80" i="6"/>
  <c r="W320" i="6"/>
  <c r="W140" i="6"/>
  <c r="W86" i="6"/>
  <c r="W33" i="6"/>
  <c r="W11" i="6"/>
  <c r="W12" i="6" s="1"/>
  <c r="W93" i="6"/>
  <c r="W40" i="6"/>
  <c r="X28" i="6"/>
  <c r="X4" i="4" s="1"/>
  <c r="W202" i="6"/>
  <c r="W126" i="6"/>
  <c r="W100" i="6"/>
  <c r="W46" i="6"/>
  <c r="W106" i="6"/>
  <c r="W53" i="6"/>
  <c r="W60" i="6"/>
  <c r="W66" i="6"/>
  <c r="W4" i="6"/>
  <c r="W73" i="6"/>
  <c r="W23" i="6"/>
  <c r="W24" i="6" s="1"/>
  <c r="W3" i="4" s="1"/>
  <c r="W35" i="10"/>
  <c r="V14" i="37"/>
  <c r="V76" i="12"/>
  <c r="V77" i="12" s="1"/>
  <c r="V72" i="12"/>
  <c r="V64" i="12"/>
  <c r="S34" i="15"/>
  <c r="S49" i="15"/>
  <c r="S12" i="14"/>
  <c r="S27" i="14"/>
  <c r="S9" i="28" s="1"/>
  <c r="L17" i="37"/>
  <c r="M70" i="12"/>
  <c r="L17" i="11"/>
  <c r="L18" i="11" s="1"/>
  <c r="T11" i="37"/>
  <c r="T20" i="17"/>
  <c r="T13" i="15"/>
  <c r="T14" i="15" s="1"/>
  <c r="T21" i="13"/>
  <c r="T48" i="12"/>
  <c r="T39" i="12"/>
  <c r="T17" i="9"/>
  <c r="T18" i="9" s="1"/>
  <c r="N22" i="15"/>
  <c r="L15" i="37"/>
  <c r="M60" i="12"/>
  <c r="L45" i="15"/>
  <c r="T22" i="17"/>
  <c r="M28" i="10"/>
  <c r="L27" i="18"/>
  <c r="L28" i="18" s="1"/>
  <c r="L40" i="18"/>
  <c r="L41" i="18" s="1"/>
  <c r="S32" i="15"/>
  <c r="S15" i="15"/>
  <c r="S14" i="34" s="1"/>
  <c r="T8" i="37"/>
  <c r="T16" i="12"/>
  <c r="T34" i="10"/>
  <c r="T21" i="10"/>
  <c r="T41" i="10"/>
  <c r="T43" i="10" s="1"/>
  <c r="T25" i="14" s="1"/>
  <c r="T26" i="14" s="1"/>
  <c r="L31" i="12"/>
  <c r="L33" i="17"/>
  <c r="L42" i="17"/>
  <c r="L46" i="17"/>
  <c r="L47" i="17" s="1"/>
  <c r="T13" i="37"/>
  <c r="T20" i="18"/>
  <c r="T22" i="18" s="1"/>
  <c r="T61" i="12"/>
  <c r="T49" i="12"/>
  <c r="V94" i="6"/>
  <c r="V101" i="6"/>
  <c r="V107" i="6"/>
  <c r="V34" i="6"/>
  <c r="V41" i="6"/>
  <c r="V47" i="6"/>
  <c r="T21" i="34" l="1"/>
  <c r="T12" i="18"/>
  <c r="L10" i="31"/>
  <c r="M41" i="15"/>
  <c r="X4" i="40"/>
  <c r="X4" i="37"/>
  <c r="X4" i="34"/>
  <c r="X4" i="31"/>
  <c r="X4" i="28"/>
  <c r="X74" i="20"/>
  <c r="X4" i="21"/>
  <c r="X4" i="22"/>
  <c r="X10" i="21"/>
  <c r="X32" i="20"/>
  <c r="X28" i="19"/>
  <c r="X4" i="20"/>
  <c r="X10" i="18"/>
  <c r="X4" i="18"/>
  <c r="X28" i="17"/>
  <c r="X10" i="17"/>
  <c r="X4" i="19"/>
  <c r="X4" i="17"/>
  <c r="X4" i="16"/>
  <c r="X40" i="15"/>
  <c r="X4" i="15"/>
  <c r="X27" i="15"/>
  <c r="X4" i="14"/>
  <c r="X19" i="13"/>
  <c r="X4" i="13"/>
  <c r="X27" i="13"/>
  <c r="X82" i="12"/>
  <c r="X10" i="16"/>
  <c r="X46" i="12"/>
  <c r="X69" i="12"/>
  <c r="X59" i="12"/>
  <c r="X4" i="12"/>
  <c r="X10" i="9"/>
  <c r="X23" i="11"/>
  <c r="X4" i="11"/>
  <c r="X19" i="10"/>
  <c r="X18" i="12"/>
  <c r="X12" i="10"/>
  <c r="X4" i="10"/>
  <c r="X4" i="9"/>
  <c r="X35" i="9"/>
  <c r="X312" i="6"/>
  <c r="X331" i="6"/>
  <c r="X332" i="6" s="1"/>
  <c r="X188" i="6"/>
  <c r="X4" i="8"/>
  <c r="X346" i="6"/>
  <c r="X347" i="6" s="1"/>
  <c r="X296" i="6"/>
  <c r="X297" i="6" s="1"/>
  <c r="X259" i="6"/>
  <c r="X336" i="6"/>
  <c r="X337" i="6" s="1"/>
  <c r="X275" i="6"/>
  <c r="X4" i="7"/>
  <c r="X351" i="6"/>
  <c r="X352" i="6" s="1"/>
  <c r="X301" i="6"/>
  <c r="X302" i="6" s="1"/>
  <c r="X320" i="6"/>
  <c r="X140" i="6"/>
  <c r="X86" i="6"/>
  <c r="X93" i="6"/>
  <c r="X40" i="6"/>
  <c r="Y28" i="6"/>
  <c r="Y4" i="4" s="1"/>
  <c r="X202" i="6"/>
  <c r="X126" i="6"/>
  <c r="X100" i="6"/>
  <c r="X46" i="6"/>
  <c r="X106" i="6"/>
  <c r="X53" i="6"/>
  <c r="X23" i="6"/>
  <c r="X24" i="6" s="1"/>
  <c r="X3" i="4" s="1"/>
  <c r="X60" i="6"/>
  <c r="X66" i="6"/>
  <c r="X73" i="6"/>
  <c r="X33" i="6"/>
  <c r="X11" i="6"/>
  <c r="X12" i="6" s="1"/>
  <c r="X80" i="6"/>
  <c r="X4" i="6"/>
  <c r="X35" i="10"/>
  <c r="U11" i="37"/>
  <c r="U20" i="17"/>
  <c r="U22" i="17" s="1"/>
  <c r="U13" i="15"/>
  <c r="U14" i="15" s="1"/>
  <c r="U21" i="13"/>
  <c r="U39" i="12"/>
  <c r="U48" i="12"/>
  <c r="U17" i="9"/>
  <c r="U18" i="9" s="1"/>
  <c r="W41" i="6"/>
  <c r="W47" i="6"/>
  <c r="W34" i="6"/>
  <c r="V26" i="31"/>
  <c r="W11" i="21"/>
  <c r="V29" i="9"/>
  <c r="L46" i="18"/>
  <c r="L47" i="18" s="1"/>
  <c r="L42" i="18"/>
  <c r="L33" i="18"/>
  <c r="M27" i="10"/>
  <c r="M29" i="10" s="1"/>
  <c r="T29" i="15"/>
  <c r="T10" i="12"/>
  <c r="T11" i="12" s="1"/>
  <c r="W94" i="6"/>
  <c r="W101" i="6"/>
  <c r="W107" i="6"/>
  <c r="W29" i="17"/>
  <c r="W18" i="34" s="1"/>
  <c r="W14" i="17"/>
  <c r="W13" i="21"/>
  <c r="O8" i="31"/>
  <c r="P20" i="13"/>
  <c r="V2" i="37"/>
  <c r="V2" i="40"/>
  <c r="V2" i="34"/>
  <c r="V2" i="31"/>
  <c r="V2" i="28"/>
  <c r="V2" i="21"/>
  <c r="V2" i="22"/>
  <c r="V60" i="20"/>
  <c r="V2" i="20"/>
  <c r="V2" i="18"/>
  <c r="V2" i="17"/>
  <c r="V2" i="16"/>
  <c r="V2" i="19"/>
  <c r="V2" i="15"/>
  <c r="V2" i="14"/>
  <c r="V2" i="12"/>
  <c r="V2" i="13"/>
  <c r="V2" i="11"/>
  <c r="V2" i="10"/>
  <c r="V2" i="9"/>
  <c r="V319" i="6"/>
  <c r="V321" i="6" s="1"/>
  <c r="V313" i="6"/>
  <c r="V241" i="6"/>
  <c r="V243" i="6" s="1"/>
  <c r="V20" i="16" s="1"/>
  <c r="V182" i="6"/>
  <c r="V184" i="6" s="1"/>
  <c r="V189" i="6" s="1"/>
  <c r="V190" i="6" s="1"/>
  <c r="V194" i="6" s="1"/>
  <c r="V176" i="6"/>
  <c r="V177" i="6" s="1"/>
  <c r="V282" i="6"/>
  <c r="V284" i="6" s="1"/>
  <c r="V276" i="6" s="1"/>
  <c r="V277" i="6" s="1"/>
  <c r="V270" i="6" s="1"/>
  <c r="V249" i="6"/>
  <c r="V251" i="6" s="1"/>
  <c r="V21" i="18" s="1"/>
  <c r="V2" i="8"/>
  <c r="V147" i="6"/>
  <c r="V2" i="7"/>
  <c r="V72" i="6"/>
  <c r="V120" i="6"/>
  <c r="V122" i="6" s="1"/>
  <c r="V127" i="6" s="1"/>
  <c r="V128" i="6" s="1"/>
  <c r="V132" i="6" s="1"/>
  <c r="V32" i="6"/>
  <c r="V114" i="6"/>
  <c r="V115" i="6" s="1"/>
  <c r="V92" i="6"/>
  <c r="V233" i="6"/>
  <c r="V235" i="6" s="1"/>
  <c r="V21" i="17" s="1"/>
  <c r="V209" i="6"/>
  <c r="V52" i="6"/>
  <c r="V2" i="6"/>
  <c r="L14" i="18"/>
  <c r="L29" i="18"/>
  <c r="W9" i="37"/>
  <c r="W17" i="12"/>
  <c r="W42" i="10"/>
  <c r="W22" i="10"/>
  <c r="W59" i="20"/>
  <c r="W53" i="20"/>
  <c r="W54" i="20" s="1"/>
  <c r="W58" i="20" s="1"/>
  <c r="W242" i="6"/>
  <c r="W290" i="6"/>
  <c r="W291" i="6" s="1"/>
  <c r="W283" i="6"/>
  <c r="W250" i="6"/>
  <c r="W234" i="6"/>
  <c r="W121" i="6"/>
  <c r="W18" i="6"/>
  <c r="W19" i="6" s="1"/>
  <c r="W2" i="4" s="1"/>
  <c r="W183" i="6"/>
  <c r="V61" i="20"/>
  <c r="V67" i="20" s="1"/>
  <c r="N8" i="34"/>
  <c r="N44" i="15"/>
  <c r="L8" i="28"/>
  <c r="L19" i="16"/>
  <c r="L21" i="16" s="1"/>
  <c r="L26" i="11"/>
  <c r="L27" i="11" s="1"/>
  <c r="T19" i="37"/>
  <c r="U83" i="12"/>
  <c r="U85" i="12" s="1"/>
  <c r="S9" i="19"/>
  <c r="S30" i="15"/>
  <c r="O25" i="12"/>
  <c r="O50" i="12"/>
  <c r="U141" i="6"/>
  <c r="U162" i="6"/>
  <c r="L48" i="17"/>
  <c r="L34" i="17"/>
  <c r="L35" i="17" s="1"/>
  <c r="W3" i="40"/>
  <c r="W3" i="37"/>
  <c r="W3" i="34"/>
  <c r="W3" i="31"/>
  <c r="W3" i="28"/>
  <c r="W3" i="21"/>
  <c r="W3" i="22"/>
  <c r="W3" i="20"/>
  <c r="W3" i="19"/>
  <c r="W3" i="16"/>
  <c r="W3" i="18"/>
  <c r="W3" i="17"/>
  <c r="W3" i="15"/>
  <c r="W3" i="14"/>
  <c r="W3" i="13"/>
  <c r="W3" i="11"/>
  <c r="W3" i="10"/>
  <c r="W3" i="8"/>
  <c r="W3" i="7"/>
  <c r="W3" i="9"/>
  <c r="W3" i="12"/>
  <c r="W79" i="6"/>
  <c r="W39" i="6"/>
  <c r="W99" i="6"/>
  <c r="W59" i="6"/>
  <c r="W3" i="6"/>
  <c r="W314" i="6"/>
  <c r="N14" i="13"/>
  <c r="N29" i="13"/>
  <c r="N31" i="13" s="1"/>
  <c r="L16" i="28"/>
  <c r="T49" i="15"/>
  <c r="T34" i="15"/>
  <c r="T27" i="14"/>
  <c r="T9" i="28" s="1"/>
  <c r="T12" i="14"/>
  <c r="T15" i="15"/>
  <c r="T14" i="34" s="1"/>
  <c r="T32" i="15"/>
  <c r="W87" i="6"/>
  <c r="W74" i="6"/>
  <c r="W81" i="6"/>
  <c r="L45" i="16"/>
  <c r="L46" i="16" s="1"/>
  <c r="L41" i="16"/>
  <c r="L32" i="16"/>
  <c r="U203" i="6"/>
  <c r="U224" i="6"/>
  <c r="U54" i="6"/>
  <c r="U61" i="6"/>
  <c r="U67" i="6"/>
  <c r="U8" i="37"/>
  <c r="U16" i="12"/>
  <c r="U21" i="10"/>
  <c r="U41" i="10"/>
  <c r="U43" i="10" s="1"/>
  <c r="U25" i="14" s="1"/>
  <c r="U26" i="14" s="1"/>
  <c r="U34" i="10"/>
  <c r="T17" i="34"/>
  <c r="T27" i="17"/>
  <c r="T12" i="17"/>
  <c r="V18" i="37"/>
  <c r="V22" i="13"/>
  <c r="V62" i="12"/>
  <c r="V30" i="13"/>
  <c r="V84" i="12"/>
  <c r="W14" i="37"/>
  <c r="W64" i="12"/>
  <c r="W72" i="12"/>
  <c r="W76" i="12"/>
  <c r="W77" i="12" s="1"/>
  <c r="U13" i="37"/>
  <c r="U20" i="18"/>
  <c r="U22" i="18" s="1"/>
  <c r="U61" i="12"/>
  <c r="U49" i="12"/>
  <c r="V40" i="12"/>
  <c r="V41" i="12" s="1"/>
  <c r="V32" i="12"/>
  <c r="V13" i="10"/>
  <c r="V14" i="10" s="1"/>
  <c r="U21" i="34" l="1"/>
  <c r="U12" i="18"/>
  <c r="V13" i="37"/>
  <c r="V20" i="18"/>
  <c r="V61" i="12"/>
  <c r="V49" i="12"/>
  <c r="W18" i="37"/>
  <c r="W22" i="13"/>
  <c r="W30" i="13"/>
  <c r="W62" i="12"/>
  <c r="W84" i="12"/>
  <c r="L13" i="17"/>
  <c r="L15" i="17" s="1"/>
  <c r="W26" i="31"/>
  <c r="X11" i="21"/>
  <c r="X13" i="21" s="1"/>
  <c r="W29" i="9"/>
  <c r="U17" i="34"/>
  <c r="U27" i="17"/>
  <c r="U12" i="17"/>
  <c r="W40" i="12"/>
  <c r="W41" i="12" s="1"/>
  <c r="W32" i="12"/>
  <c r="W13" i="10"/>
  <c r="W14" i="10" s="1"/>
  <c r="V54" i="6"/>
  <c r="V61" i="6"/>
  <c r="V67" i="6"/>
  <c r="U29" i="15"/>
  <c r="U10" i="12"/>
  <c r="U11" i="12" s="1"/>
  <c r="X47" i="6"/>
  <c r="X34" i="6"/>
  <c r="X41" i="6"/>
  <c r="X14" i="37"/>
  <c r="X64" i="12"/>
  <c r="X72" i="12"/>
  <c r="X76" i="12"/>
  <c r="X77" i="12" s="1"/>
  <c r="X29" i="17"/>
  <c r="X18" i="34" s="1"/>
  <c r="X14" i="17"/>
  <c r="L17" i="28"/>
  <c r="L18" i="28"/>
  <c r="X94" i="6"/>
  <c r="X101" i="6"/>
  <c r="X107" i="6"/>
  <c r="N32" i="13"/>
  <c r="N9" i="31" s="1"/>
  <c r="O28" i="13"/>
  <c r="L47" i="16"/>
  <c r="L33" i="16"/>
  <c r="L34" i="16" s="1"/>
  <c r="L22" i="34"/>
  <c r="V22" i="18"/>
  <c r="P11" i="13"/>
  <c r="P23" i="13"/>
  <c r="L48" i="18"/>
  <c r="L34" i="18"/>
  <c r="L35" i="18" s="1"/>
  <c r="X9" i="37"/>
  <c r="X17" i="12"/>
  <c r="X22" i="10"/>
  <c r="X42" i="10"/>
  <c r="Y4" i="40"/>
  <c r="Y4" i="37"/>
  <c r="Y4" i="34"/>
  <c r="Y4" i="31"/>
  <c r="Y4" i="28"/>
  <c r="Y10" i="21"/>
  <c r="Y4" i="21"/>
  <c r="Y4" i="22"/>
  <c r="Y74" i="20"/>
  <c r="Y32" i="20"/>
  <c r="Y4" i="20"/>
  <c r="Y10" i="18"/>
  <c r="Y28" i="19"/>
  <c r="Y4" i="19"/>
  <c r="Y10" i="17"/>
  <c r="Y10" i="16"/>
  <c r="Y4" i="18"/>
  <c r="Y4" i="16"/>
  <c r="Y28" i="17"/>
  <c r="Y4" i="17"/>
  <c r="Y4" i="14"/>
  <c r="Y40" i="15"/>
  <c r="Y4" i="15"/>
  <c r="Y27" i="15"/>
  <c r="Y19" i="13"/>
  <c r="Y4" i="13"/>
  <c r="Y27" i="13"/>
  <c r="Y82" i="12"/>
  <c r="Y46" i="12"/>
  <c r="Y69" i="12"/>
  <c r="Y59" i="12"/>
  <c r="Y4" i="12"/>
  <c r="Y23" i="11"/>
  <c r="Y4" i="11"/>
  <c r="Y19" i="10"/>
  <c r="Y18" i="12"/>
  <c r="Y12" i="10"/>
  <c r="Y4" i="10"/>
  <c r="Y35" i="9"/>
  <c r="Y4" i="8"/>
  <c r="Y10" i="9"/>
  <c r="Y331" i="6"/>
  <c r="Y332" i="6" s="1"/>
  <c r="Y346" i="6"/>
  <c r="Y347" i="6" s="1"/>
  <c r="Y296" i="6"/>
  <c r="Y297" i="6" s="1"/>
  <c r="Y259" i="6"/>
  <c r="Y336" i="6"/>
  <c r="Y337" i="6" s="1"/>
  <c r="Y275" i="6"/>
  <c r="Y4" i="7"/>
  <c r="Y351" i="6"/>
  <c r="Y352" i="6" s="1"/>
  <c r="Y301" i="6"/>
  <c r="Y302" i="6" s="1"/>
  <c r="Y4" i="9"/>
  <c r="Y320" i="6"/>
  <c r="Y202" i="6"/>
  <c r="Y312" i="6"/>
  <c r="Y93" i="6"/>
  <c r="Y126" i="6"/>
  <c r="Y100" i="6"/>
  <c r="Y46" i="6"/>
  <c r="Y106" i="6"/>
  <c r="Y53" i="6"/>
  <c r="Y23" i="6"/>
  <c r="Y24" i="6" s="1"/>
  <c r="Y3" i="4" s="1"/>
  <c r="Y188" i="6"/>
  <c r="Y60" i="6"/>
  <c r="Y66" i="6"/>
  <c r="Y73" i="6"/>
  <c r="Y80" i="6"/>
  <c r="Y33" i="6"/>
  <c r="Y40" i="6"/>
  <c r="Y140" i="6"/>
  <c r="Z28" i="6"/>
  <c r="Z4" i="4" s="1"/>
  <c r="Y86" i="6"/>
  <c r="Y11" i="6"/>
  <c r="Y12" i="6" s="1"/>
  <c r="Y4" i="6"/>
  <c r="Y35" i="10"/>
  <c r="V8" i="37"/>
  <c r="V21" i="10"/>
  <c r="V41" i="10"/>
  <c r="V43" i="10" s="1"/>
  <c r="V25" i="14" s="1"/>
  <c r="V26" i="14" s="1"/>
  <c r="V16" i="12"/>
  <c r="V34" i="10"/>
  <c r="U49" i="15"/>
  <c r="U27" i="14"/>
  <c r="U9" i="28" s="1"/>
  <c r="U12" i="14"/>
  <c r="U34" i="15"/>
  <c r="W2" i="40"/>
  <c r="W2" i="37"/>
  <c r="W2" i="34"/>
  <c r="W2" i="31"/>
  <c r="W2" i="22"/>
  <c r="W60" i="20"/>
  <c r="W61" i="20" s="1"/>
  <c r="W67" i="20" s="1"/>
  <c r="W2" i="28"/>
  <c r="W2" i="21"/>
  <c r="W2" i="20"/>
  <c r="W2" i="18"/>
  <c r="W2" i="19"/>
  <c r="W2" i="17"/>
  <c r="W2" i="16"/>
  <c r="W2" i="15"/>
  <c r="W2" i="13"/>
  <c r="W2" i="14"/>
  <c r="W2" i="12"/>
  <c r="W2" i="11"/>
  <c r="W2" i="10"/>
  <c r="W2" i="9"/>
  <c r="W319" i="6"/>
  <c r="W321" i="6" s="1"/>
  <c r="W313" i="6"/>
  <c r="W241" i="6"/>
  <c r="W243" i="6" s="1"/>
  <c r="W20" i="16" s="1"/>
  <c r="W182" i="6"/>
  <c r="W184" i="6" s="1"/>
  <c r="W189" i="6" s="1"/>
  <c r="W190" i="6" s="1"/>
  <c r="W194" i="6" s="1"/>
  <c r="W176" i="6"/>
  <c r="W177" i="6" s="1"/>
  <c r="W282" i="6"/>
  <c r="W284" i="6" s="1"/>
  <c r="W276" i="6" s="1"/>
  <c r="W277" i="6" s="1"/>
  <c r="W270" i="6" s="1"/>
  <c r="W249" i="6"/>
  <c r="W251" i="6" s="1"/>
  <c r="W21" i="18" s="1"/>
  <c r="W2" i="8"/>
  <c r="W2" i="7"/>
  <c r="W233" i="6"/>
  <c r="W235" i="6" s="1"/>
  <c r="W21" i="17" s="1"/>
  <c r="W209" i="6"/>
  <c r="W72" i="6"/>
  <c r="W120" i="6"/>
  <c r="W122" i="6" s="1"/>
  <c r="W127" i="6" s="1"/>
  <c r="W128" i="6" s="1"/>
  <c r="W132" i="6" s="1"/>
  <c r="W32" i="6"/>
  <c r="W114" i="6"/>
  <c r="W115" i="6" s="1"/>
  <c r="W92" i="6"/>
  <c r="W52" i="6"/>
  <c r="W2" i="6"/>
  <c r="W147" i="6"/>
  <c r="V141" i="6"/>
  <c r="V162" i="6"/>
  <c r="T9" i="19"/>
  <c r="T30" i="15"/>
  <c r="X3" i="40"/>
  <c r="X3" i="37"/>
  <c r="X3" i="34"/>
  <c r="X3" i="31"/>
  <c r="X3" i="28"/>
  <c r="X3" i="22"/>
  <c r="X3" i="21"/>
  <c r="X3" i="20"/>
  <c r="X3" i="19"/>
  <c r="X3" i="18"/>
  <c r="X3" i="17"/>
  <c r="X3" i="16"/>
  <c r="X3" i="14"/>
  <c r="X3" i="15"/>
  <c r="X3" i="13"/>
  <c r="X3" i="10"/>
  <c r="X3" i="9"/>
  <c r="X3" i="12"/>
  <c r="X3" i="7"/>
  <c r="X3" i="11"/>
  <c r="X79" i="6"/>
  <c r="X39" i="6"/>
  <c r="X99" i="6"/>
  <c r="X3" i="8"/>
  <c r="X59" i="6"/>
  <c r="X3" i="6"/>
  <c r="X314" i="6"/>
  <c r="N13" i="28"/>
  <c r="O12" i="37"/>
  <c r="O12" i="13"/>
  <c r="O13" i="13" s="1"/>
  <c r="P47" i="12"/>
  <c r="U19" i="37"/>
  <c r="V83" i="12"/>
  <c r="V85" i="12" s="1"/>
  <c r="V224" i="6"/>
  <c r="V203" i="6"/>
  <c r="U32" i="15"/>
  <c r="U15" i="15"/>
  <c r="U14" i="34" s="1"/>
  <c r="X74" i="6"/>
  <c r="X81" i="6"/>
  <c r="X87" i="6"/>
  <c r="L14" i="31"/>
  <c r="M24" i="11"/>
  <c r="X59" i="20"/>
  <c r="X53" i="20"/>
  <c r="X54" i="20" s="1"/>
  <c r="X58" i="20" s="1"/>
  <c r="X290" i="6"/>
  <c r="X291" i="6" s="1"/>
  <c r="X283" i="6"/>
  <c r="X250" i="6"/>
  <c r="X234" i="6"/>
  <c r="X121" i="6"/>
  <c r="X242" i="6"/>
  <c r="X183" i="6"/>
  <c r="X18" i="6"/>
  <c r="X19" i="6" s="1"/>
  <c r="X2" i="4" s="1"/>
  <c r="L23" i="34"/>
  <c r="L19" i="34"/>
  <c r="L12" i="16"/>
  <c r="L26" i="16"/>
  <c r="N27" i="16" s="1"/>
  <c r="M53" i="12"/>
  <c r="M54" i="12" s="1"/>
  <c r="M11" i="11"/>
  <c r="M12" i="11" s="1"/>
  <c r="M23" i="10"/>
  <c r="M24" i="10" s="1"/>
  <c r="L13" i="16" l="1"/>
  <c r="L13" i="18"/>
  <c r="L15" i="18" s="1"/>
  <c r="P8" i="31"/>
  <c r="Q20" i="13"/>
  <c r="M16" i="37"/>
  <c r="M71" i="12"/>
  <c r="M73" i="12" s="1"/>
  <c r="M63" i="12"/>
  <c r="M65" i="12" s="1"/>
  <c r="U30" i="15"/>
  <c r="U9" i="19"/>
  <c r="X26" i="31"/>
  <c r="Y11" i="21"/>
  <c r="X29" i="9"/>
  <c r="M16" i="19"/>
  <c r="M17" i="19" s="1"/>
  <c r="M20" i="15"/>
  <c r="M42" i="15"/>
  <c r="M25" i="11"/>
  <c r="Y59" i="20"/>
  <c r="Y53" i="20"/>
  <c r="Y54" i="20" s="1"/>
  <c r="Y58" i="20" s="1"/>
  <c r="Y283" i="6"/>
  <c r="Y250" i="6"/>
  <c r="Y234" i="6"/>
  <c r="Y242" i="6"/>
  <c r="Y183" i="6"/>
  <c r="Y290" i="6"/>
  <c r="Y291" i="6" s="1"/>
  <c r="Y121" i="6"/>
  <c r="Y18" i="6"/>
  <c r="Y19" i="6" s="1"/>
  <c r="Y2" i="4" s="1"/>
  <c r="X40" i="12"/>
  <c r="X41" i="12" s="1"/>
  <c r="X32" i="12"/>
  <c r="X13" i="10"/>
  <c r="X14" i="10" s="1"/>
  <c r="P25" i="12"/>
  <c r="P50" i="12"/>
  <c r="W162" i="6"/>
  <c r="W141" i="6"/>
  <c r="Z4" i="40"/>
  <c r="Z4" i="37"/>
  <c r="Z4" i="34"/>
  <c r="Z4" i="31"/>
  <c r="Z4" i="28"/>
  <c r="Z10" i="21"/>
  <c r="Z4" i="21"/>
  <c r="Z4" i="22"/>
  <c r="Z32" i="20"/>
  <c r="Z10" i="18"/>
  <c r="Z28" i="19"/>
  <c r="Z4" i="19"/>
  <c r="Z74" i="20"/>
  <c r="Z4" i="20"/>
  <c r="Z4" i="17"/>
  <c r="Z4" i="18"/>
  <c r="Z28" i="17"/>
  <c r="Z40" i="15"/>
  <c r="Z10" i="17"/>
  <c r="Z4" i="16"/>
  <c r="Z27" i="15"/>
  <c r="Z10" i="16"/>
  <c r="Z4" i="14"/>
  <c r="Z27" i="13"/>
  <c r="Z82" i="12"/>
  <c r="Z4" i="15"/>
  <c r="Z69" i="12"/>
  <c r="Z19" i="13"/>
  <c r="Z59" i="12"/>
  <c r="Z18" i="12"/>
  <c r="Z4" i="13"/>
  <c r="Z46" i="12"/>
  <c r="Z4" i="12"/>
  <c r="Z23" i="11"/>
  <c r="Z4" i="11"/>
  <c r="Z19" i="10"/>
  <c r="Z12" i="10"/>
  <c r="Z4" i="10"/>
  <c r="Z346" i="6"/>
  <c r="Z347" i="6" s="1"/>
  <c r="Z296" i="6"/>
  <c r="Z297" i="6" s="1"/>
  <c r="Z4" i="8"/>
  <c r="Z259" i="6"/>
  <c r="Z336" i="6"/>
  <c r="Z337" i="6" s="1"/>
  <c r="Z275" i="6"/>
  <c r="Z4" i="7"/>
  <c r="Z351" i="6"/>
  <c r="Z352" i="6" s="1"/>
  <c r="Z301" i="6"/>
  <c r="Z302" i="6" s="1"/>
  <c r="Z4" i="9"/>
  <c r="Z320" i="6"/>
  <c r="Z312" i="6"/>
  <c r="Z126" i="6"/>
  <c r="Z100" i="6"/>
  <c r="Z46" i="6"/>
  <c r="Z202" i="6"/>
  <c r="Z106" i="6"/>
  <c r="Z53" i="6"/>
  <c r="Z23" i="6"/>
  <c r="Z24" i="6" s="1"/>
  <c r="Z3" i="4" s="1"/>
  <c r="Z188" i="6"/>
  <c r="Z60" i="6"/>
  <c r="Z66" i="6"/>
  <c r="Z73" i="6"/>
  <c r="Z10" i="9"/>
  <c r="Z331" i="6"/>
  <c r="Z332" i="6" s="1"/>
  <c r="Z80" i="6"/>
  <c r="Z140" i="6"/>
  <c r="Z86" i="6"/>
  <c r="Z33" i="6"/>
  <c r="Z93" i="6"/>
  <c r="Z40" i="6"/>
  <c r="Z35" i="9"/>
  <c r="Z11" i="6"/>
  <c r="Z12" i="6" s="1"/>
  <c r="Z4" i="6"/>
  <c r="AA28" i="6"/>
  <c r="AA4" i="4" s="1"/>
  <c r="Z35" i="10"/>
  <c r="V21" i="34"/>
  <c r="V12" i="18"/>
  <c r="W8" i="37"/>
  <c r="W41" i="10"/>
  <c r="W43" i="10" s="1"/>
  <c r="W25" i="14" s="1"/>
  <c r="W26" i="14" s="1"/>
  <c r="W16" i="12"/>
  <c r="W34" i="10"/>
  <c r="W21" i="10"/>
  <c r="V19" i="37"/>
  <c r="W83" i="12"/>
  <c r="W85" i="12" s="1"/>
  <c r="X2" i="40"/>
  <c r="X2" i="37"/>
  <c r="X2" i="34"/>
  <c r="X2" i="31"/>
  <c r="X2" i="22"/>
  <c r="X2" i="28"/>
  <c r="X2" i="21"/>
  <c r="X60" i="20"/>
  <c r="X2" i="20"/>
  <c r="X2" i="19"/>
  <c r="X2" i="18"/>
  <c r="X2" i="17"/>
  <c r="X2" i="16"/>
  <c r="X2" i="15"/>
  <c r="X2" i="13"/>
  <c r="X2" i="14"/>
  <c r="X2" i="12"/>
  <c r="X2" i="11"/>
  <c r="X2" i="10"/>
  <c r="X2" i="9"/>
  <c r="X241" i="6"/>
  <c r="X243" i="6" s="1"/>
  <c r="X20" i="16" s="1"/>
  <c r="X176" i="6"/>
  <c r="X177" i="6" s="1"/>
  <c r="X282" i="6"/>
  <c r="X284" i="6" s="1"/>
  <c r="X276" i="6" s="1"/>
  <c r="X277" i="6" s="1"/>
  <c r="X270" i="6" s="1"/>
  <c r="X249" i="6"/>
  <c r="X251" i="6" s="1"/>
  <c r="X21" i="18" s="1"/>
  <c r="X2" i="8"/>
  <c r="X2" i="7"/>
  <c r="X233" i="6"/>
  <c r="X235" i="6" s="1"/>
  <c r="X21" i="17" s="1"/>
  <c r="X182" i="6"/>
  <c r="X184" i="6" s="1"/>
  <c r="X189" i="6" s="1"/>
  <c r="X190" i="6" s="1"/>
  <c r="X194" i="6" s="1"/>
  <c r="X120" i="6"/>
  <c r="X122" i="6" s="1"/>
  <c r="X127" i="6" s="1"/>
  <c r="X128" i="6" s="1"/>
  <c r="X132" i="6" s="1"/>
  <c r="X32" i="6"/>
  <c r="X114" i="6"/>
  <c r="X115" i="6" s="1"/>
  <c r="X92" i="6"/>
  <c r="X313" i="6"/>
  <c r="Y314" i="6" s="1"/>
  <c r="X209" i="6"/>
  <c r="X319" i="6"/>
  <c r="X321" i="6" s="1"/>
  <c r="X147" i="6"/>
  <c r="X52" i="6"/>
  <c r="X72" i="6"/>
  <c r="X2" i="6"/>
  <c r="O14" i="13"/>
  <c r="O13" i="28" s="1"/>
  <c r="O29" i="13"/>
  <c r="O31" i="13" s="1"/>
  <c r="Y74" i="6"/>
  <c r="Y81" i="6"/>
  <c r="Y87" i="6"/>
  <c r="W54" i="6"/>
  <c r="W61" i="6"/>
  <c r="W67" i="6"/>
  <c r="X61" i="20"/>
  <c r="X67" i="20" s="1"/>
  <c r="W224" i="6"/>
  <c r="W203" i="6"/>
  <c r="Y3" i="40"/>
  <c r="Y3" i="37"/>
  <c r="Y3" i="34"/>
  <c r="Y3" i="31"/>
  <c r="Y3" i="28"/>
  <c r="Y3" i="21"/>
  <c r="Y3" i="22"/>
  <c r="Y3" i="20"/>
  <c r="Y3" i="19"/>
  <c r="Y3" i="18"/>
  <c r="Y3" i="17"/>
  <c r="Y3" i="16"/>
  <c r="Y3" i="15"/>
  <c r="Y3" i="14"/>
  <c r="Y3" i="13"/>
  <c r="Y3" i="10"/>
  <c r="Y3" i="8"/>
  <c r="Y3" i="12"/>
  <c r="Y3" i="11"/>
  <c r="Y3" i="7"/>
  <c r="Y3" i="9"/>
  <c r="Y39" i="6"/>
  <c r="Y99" i="6"/>
  <c r="Y59" i="6"/>
  <c r="Y3" i="6"/>
  <c r="Y79" i="6"/>
  <c r="L24" i="34"/>
  <c r="W13" i="37"/>
  <c r="W20" i="18"/>
  <c r="W22" i="18" s="1"/>
  <c r="W61" i="12"/>
  <c r="W49" i="12"/>
  <c r="L16" i="31"/>
  <c r="M11" i="17"/>
  <c r="Y101" i="6"/>
  <c r="Y107" i="6"/>
  <c r="Y94" i="6"/>
  <c r="V49" i="15"/>
  <c r="V34" i="15"/>
  <c r="V27" i="14"/>
  <c r="V9" i="28" s="1"/>
  <c r="V12" i="14"/>
  <c r="Y9" i="37"/>
  <c r="Y17" i="12"/>
  <c r="Y22" i="10"/>
  <c r="Y42" i="10"/>
  <c r="Y14" i="37"/>
  <c r="Y72" i="12"/>
  <c r="Y76" i="12"/>
  <c r="Y77" i="12" s="1"/>
  <c r="Y64" i="12"/>
  <c r="L15" i="16"/>
  <c r="M10" i="37"/>
  <c r="N20" i="10"/>
  <c r="M24" i="12"/>
  <c r="M26" i="12" s="1"/>
  <c r="N14" i="16"/>
  <c r="N28" i="16"/>
  <c r="Y13" i="21"/>
  <c r="Y47" i="6"/>
  <c r="Y34" i="6"/>
  <c r="Y41" i="6"/>
  <c r="Y29" i="17"/>
  <c r="Y18" i="34" s="1"/>
  <c r="Y14" i="17"/>
  <c r="L25" i="34"/>
  <c r="X18" i="37"/>
  <c r="X22" i="13"/>
  <c r="X30" i="13"/>
  <c r="X84" i="12"/>
  <c r="X62" i="12"/>
  <c r="W21" i="34" l="1"/>
  <c r="W12" i="18"/>
  <c r="Y26" i="31"/>
  <c r="Z11" i="21"/>
  <c r="Y29" i="9"/>
  <c r="N20" i="34"/>
  <c r="Z53" i="20"/>
  <c r="Z54" i="20" s="1"/>
  <c r="Z58" i="20" s="1"/>
  <c r="Z59" i="20"/>
  <c r="Z250" i="6"/>
  <c r="Z234" i="6"/>
  <c r="Z242" i="6"/>
  <c r="Z290" i="6"/>
  <c r="Z291" i="6" s="1"/>
  <c r="Z283" i="6"/>
  <c r="Z183" i="6"/>
  <c r="Z121" i="6"/>
  <c r="Z18" i="6"/>
  <c r="Z19" i="6" s="1"/>
  <c r="Z2" i="4" s="1"/>
  <c r="Y2" i="40"/>
  <c r="Y2" i="37"/>
  <c r="Y2" i="34"/>
  <c r="Y2" i="31"/>
  <c r="Y2" i="28"/>
  <c r="Y2" i="22"/>
  <c r="Y2" i="21"/>
  <c r="Y60" i="20"/>
  <c r="Y61" i="20" s="1"/>
  <c r="Y67" i="20" s="1"/>
  <c r="Y2" i="20"/>
  <c r="Y2" i="19"/>
  <c r="Y2" i="18"/>
  <c r="Y2" i="17"/>
  <c r="Y2" i="16"/>
  <c r="Y2" i="14"/>
  <c r="Y2" i="15"/>
  <c r="Y2" i="13"/>
  <c r="Y2" i="12"/>
  <c r="Y2" i="11"/>
  <c r="Y2" i="10"/>
  <c r="Y2" i="8"/>
  <c r="Y282" i="6"/>
  <c r="Y284" i="6" s="1"/>
  <c r="Y276" i="6" s="1"/>
  <c r="Y277" i="6" s="1"/>
  <c r="Y270" i="6" s="1"/>
  <c r="Y249" i="6"/>
  <c r="Y251" i="6" s="1"/>
  <c r="Y21" i="18" s="1"/>
  <c r="Y2" i="7"/>
  <c r="Y233" i="6"/>
  <c r="Y235" i="6" s="1"/>
  <c r="Y21" i="17" s="1"/>
  <c r="Y319" i="6"/>
  <c r="Y321" i="6" s="1"/>
  <c r="Y313" i="6"/>
  <c r="Y182" i="6"/>
  <c r="Y184" i="6" s="1"/>
  <c r="Y189" i="6" s="1"/>
  <c r="Y190" i="6" s="1"/>
  <c r="Y194" i="6" s="1"/>
  <c r="Y120" i="6"/>
  <c r="Y122" i="6" s="1"/>
  <c r="Y127" i="6" s="1"/>
  <c r="Y128" i="6" s="1"/>
  <c r="Y132" i="6" s="1"/>
  <c r="Y241" i="6"/>
  <c r="Y243" i="6" s="1"/>
  <c r="Y20" i="16" s="1"/>
  <c r="Y114" i="6"/>
  <c r="Y115" i="6" s="1"/>
  <c r="Y92" i="6"/>
  <c r="Y176" i="6"/>
  <c r="Y177" i="6" s="1"/>
  <c r="Y209" i="6"/>
  <c r="Y52" i="6"/>
  <c r="Y2" i="9"/>
  <c r="Y147" i="6"/>
  <c r="Y72" i="6"/>
  <c r="Y32" i="6"/>
  <c r="Y2" i="6"/>
  <c r="Y18" i="37"/>
  <c r="Y62" i="12"/>
  <c r="Y22" i="13"/>
  <c r="Y30" i="13"/>
  <c r="Y84" i="12"/>
  <c r="M40" i="17"/>
  <c r="M41" i="17" s="1"/>
  <c r="X54" i="6"/>
  <c r="X61" i="6"/>
  <c r="X67" i="6"/>
  <c r="W49" i="15"/>
  <c r="W12" i="14"/>
  <c r="W34" i="15"/>
  <c r="W27" i="14"/>
  <c r="W9" i="28" s="1"/>
  <c r="Z41" i="6"/>
  <c r="Z47" i="6"/>
  <c r="Z34" i="6"/>
  <c r="Z14" i="17"/>
  <c r="Z29" i="17"/>
  <c r="Z18" i="34" s="1"/>
  <c r="M31" i="12"/>
  <c r="Z107" i="6"/>
  <c r="Z94" i="6"/>
  <c r="Z101" i="6"/>
  <c r="Z14" i="37"/>
  <c r="Z76" i="12"/>
  <c r="Z77" i="12" s="1"/>
  <c r="Z64" i="12"/>
  <c r="Z72" i="12"/>
  <c r="P12" i="37"/>
  <c r="P12" i="13"/>
  <c r="P13" i="13" s="1"/>
  <c r="Q47" i="12"/>
  <c r="Y40" i="12"/>
  <c r="Y41" i="12" s="1"/>
  <c r="Y13" i="10"/>
  <c r="Y14" i="10" s="1"/>
  <c r="Y32" i="12"/>
  <c r="N28" i="10"/>
  <c r="L18" i="31"/>
  <c r="M11" i="18"/>
  <c r="W19" i="37"/>
  <c r="X83" i="12"/>
  <c r="X85" i="12" s="1"/>
  <c r="Z9" i="37"/>
  <c r="Z17" i="12"/>
  <c r="Z22" i="10"/>
  <c r="Z42" i="10"/>
  <c r="X8" i="37"/>
  <c r="X16" i="12"/>
  <c r="X41" i="10"/>
  <c r="X43" i="10" s="1"/>
  <c r="X25" i="14" s="1"/>
  <c r="X26" i="14" s="1"/>
  <c r="X34" i="10"/>
  <c r="X21" i="10"/>
  <c r="Q11" i="13"/>
  <c r="Q23" i="13"/>
  <c r="X162" i="6"/>
  <c r="X141" i="6"/>
  <c r="Z74" i="6"/>
  <c r="Z81" i="6"/>
  <c r="Z87" i="6"/>
  <c r="Z13" i="21"/>
  <c r="M15" i="37"/>
  <c r="N60" i="12"/>
  <c r="X224" i="6"/>
  <c r="X203" i="6"/>
  <c r="AA4" i="40"/>
  <c r="AA4" i="37"/>
  <c r="AA4" i="34"/>
  <c r="AA4" i="31"/>
  <c r="AA4" i="28"/>
  <c r="AA74" i="20"/>
  <c r="AA4" i="21"/>
  <c r="AA4" i="22"/>
  <c r="AA10" i="21"/>
  <c r="AA32" i="20"/>
  <c r="AA4" i="20"/>
  <c r="AA10" i="18"/>
  <c r="AA28" i="19"/>
  <c r="AA4" i="19"/>
  <c r="AA4" i="16"/>
  <c r="AA4" i="18"/>
  <c r="AA28" i="17"/>
  <c r="AA4" i="17"/>
  <c r="AA10" i="17"/>
  <c r="AA10" i="16"/>
  <c r="AA40" i="15"/>
  <c r="AA4" i="15"/>
  <c r="AA27" i="15"/>
  <c r="AA4" i="14"/>
  <c r="AA19" i="13"/>
  <c r="AA69" i="12"/>
  <c r="AA59" i="12"/>
  <c r="AA18" i="12"/>
  <c r="AA4" i="13"/>
  <c r="AA82" i="12"/>
  <c r="AA27" i="13"/>
  <c r="AA46" i="12"/>
  <c r="AA4" i="11"/>
  <c r="AA19" i="10"/>
  <c r="AA12" i="10"/>
  <c r="AA4" i="10"/>
  <c r="AA4" i="8"/>
  <c r="AA259" i="6"/>
  <c r="AA336" i="6"/>
  <c r="AA337" i="6" s="1"/>
  <c r="AA275" i="6"/>
  <c r="AA23" i="11"/>
  <c r="AA4" i="7"/>
  <c r="AA351" i="6"/>
  <c r="AA352" i="6" s="1"/>
  <c r="AA301" i="6"/>
  <c r="AA302" i="6" s="1"/>
  <c r="AA4" i="9"/>
  <c r="AA320" i="6"/>
  <c r="AA312" i="6"/>
  <c r="AA35" i="9"/>
  <c r="AA10" i="9"/>
  <c r="AA331" i="6"/>
  <c r="AA332" i="6" s="1"/>
  <c r="AA188" i="6"/>
  <c r="AA202" i="6"/>
  <c r="AA106" i="6"/>
  <c r="AA53" i="6"/>
  <c r="AA346" i="6"/>
  <c r="AA347" i="6" s="1"/>
  <c r="AA60" i="6"/>
  <c r="AA4" i="12"/>
  <c r="AA66" i="6"/>
  <c r="AA73" i="6"/>
  <c r="AA80" i="6"/>
  <c r="AA140" i="6"/>
  <c r="AA86" i="6"/>
  <c r="AA296" i="6"/>
  <c r="AA297" i="6" s="1"/>
  <c r="AA93" i="6"/>
  <c r="AA40" i="6"/>
  <c r="AB28" i="6"/>
  <c r="AB4" i="4" s="1"/>
  <c r="AA33" i="6"/>
  <c r="AA100" i="6"/>
  <c r="AA23" i="6"/>
  <c r="AA24" i="6" s="1"/>
  <c r="AA3" i="4" s="1"/>
  <c r="AA11" i="6"/>
  <c r="AA12" i="6" s="1"/>
  <c r="AA4" i="6"/>
  <c r="AA126" i="6"/>
  <c r="AA46" i="6"/>
  <c r="AA35" i="10"/>
  <c r="Z314" i="6"/>
  <c r="X13" i="37"/>
  <c r="X20" i="18"/>
  <c r="X22" i="18" s="1"/>
  <c r="X61" i="12"/>
  <c r="X49" i="12"/>
  <c r="M21" i="19"/>
  <c r="M21" i="15"/>
  <c r="O22" i="15" s="1"/>
  <c r="M43" i="15"/>
  <c r="M45" i="15" s="1"/>
  <c r="M17" i="37"/>
  <c r="N70" i="12"/>
  <c r="M17" i="11"/>
  <c r="M18" i="11" s="1"/>
  <c r="L17" i="31"/>
  <c r="M11" i="16"/>
  <c r="O32" i="13"/>
  <c r="P28" i="13"/>
  <c r="Z3" i="40"/>
  <c r="Z3" i="37"/>
  <c r="Z3" i="34"/>
  <c r="Z3" i="31"/>
  <c r="Z3" i="28"/>
  <c r="Z3" i="21"/>
  <c r="Z3" i="22"/>
  <c r="Z3" i="20"/>
  <c r="Z3" i="18"/>
  <c r="Z3" i="19"/>
  <c r="Z3" i="17"/>
  <c r="Z3" i="16"/>
  <c r="Z3" i="15"/>
  <c r="Z3" i="14"/>
  <c r="Z3" i="13"/>
  <c r="Z3" i="12"/>
  <c r="Z3" i="11"/>
  <c r="Z3" i="10"/>
  <c r="Z3" i="9"/>
  <c r="Z3" i="8"/>
  <c r="Z3" i="7"/>
  <c r="Z99" i="6"/>
  <c r="Z59" i="6"/>
  <c r="Z79" i="6"/>
  <c r="Z39" i="6"/>
  <c r="Z3" i="6"/>
  <c r="O8" i="34" l="1"/>
  <c r="O44" i="15"/>
  <c r="X21" i="34"/>
  <c r="X12" i="18"/>
  <c r="Z26" i="31"/>
  <c r="AA11" i="21"/>
  <c r="Z29" i="9"/>
  <c r="M10" i="31"/>
  <c r="N41" i="15"/>
  <c r="Y54" i="6"/>
  <c r="Y61" i="6"/>
  <c r="Y67" i="6"/>
  <c r="Z40" i="12"/>
  <c r="Z41" i="12" s="1"/>
  <c r="Z32" i="12"/>
  <c r="Z13" i="10"/>
  <c r="Z14" i="10" s="1"/>
  <c r="M33" i="17"/>
  <c r="M46" i="17"/>
  <c r="M47" i="17" s="1"/>
  <c r="M42" i="17"/>
  <c r="Y203" i="6"/>
  <c r="Y224" i="6"/>
  <c r="AA3" i="40"/>
  <c r="AA3" i="37"/>
  <c r="AA3" i="34"/>
  <c r="AA3" i="31"/>
  <c r="AA3" i="28"/>
  <c r="AA3" i="22"/>
  <c r="AA3" i="21"/>
  <c r="AA3" i="20"/>
  <c r="AA3" i="18"/>
  <c r="AA3" i="19"/>
  <c r="AA3" i="17"/>
  <c r="AA3" i="16"/>
  <c r="AA3" i="15"/>
  <c r="AA3" i="13"/>
  <c r="AA3" i="14"/>
  <c r="AA3" i="12"/>
  <c r="AA3" i="11"/>
  <c r="AA3" i="10"/>
  <c r="AA3" i="9"/>
  <c r="AA3" i="8"/>
  <c r="AA3" i="7"/>
  <c r="AA99" i="6"/>
  <c r="AA59" i="6"/>
  <c r="AA79" i="6"/>
  <c r="AA39" i="6"/>
  <c r="AA3" i="6"/>
  <c r="AA13" i="21"/>
  <c r="AA74" i="6"/>
  <c r="AA81" i="6"/>
  <c r="AA87" i="6"/>
  <c r="X49" i="15"/>
  <c r="X34" i="15"/>
  <c r="X27" i="14"/>
  <c r="X9" i="28" s="1"/>
  <c r="X12" i="14"/>
  <c r="Y162" i="6"/>
  <c r="Y141" i="6"/>
  <c r="AA9" i="37"/>
  <c r="AA17" i="12"/>
  <c r="AA22" i="10"/>
  <c r="AA42" i="10"/>
  <c r="AA47" i="6"/>
  <c r="AA34" i="6"/>
  <c r="AA41" i="6"/>
  <c r="AA14" i="37"/>
  <c r="AA76" i="12"/>
  <c r="AA77" i="12" s="1"/>
  <c r="AA64" i="12"/>
  <c r="AA72" i="12"/>
  <c r="Y8" i="37"/>
  <c r="Y16" i="12"/>
  <c r="Y34" i="10"/>
  <c r="Y21" i="10"/>
  <c r="Y41" i="10"/>
  <c r="Y43" i="10" s="1"/>
  <c r="Y25" i="14" s="1"/>
  <c r="Y26" i="14" s="1"/>
  <c r="Z2" i="40"/>
  <c r="Z2" i="37"/>
  <c r="Z2" i="34"/>
  <c r="Z2" i="31"/>
  <c r="Z2" i="28"/>
  <c r="Z2" i="22"/>
  <c r="Z2" i="21"/>
  <c r="Z60" i="20"/>
  <c r="Z2" i="20"/>
  <c r="Z2" i="19"/>
  <c r="Z2" i="18"/>
  <c r="Z2" i="17"/>
  <c r="Z2" i="16"/>
  <c r="Z2" i="14"/>
  <c r="Z2" i="15"/>
  <c r="Z2" i="13"/>
  <c r="Z2" i="11"/>
  <c r="Z2" i="12"/>
  <c r="Z2" i="10"/>
  <c r="Z282" i="6"/>
  <c r="Z284" i="6" s="1"/>
  <c r="Z276" i="6" s="1"/>
  <c r="Z277" i="6" s="1"/>
  <c r="Z270" i="6" s="1"/>
  <c r="Z249" i="6"/>
  <c r="Z251" i="6" s="1"/>
  <c r="Z21" i="18" s="1"/>
  <c r="Z2" i="8"/>
  <c r="Z2" i="7"/>
  <c r="Z233" i="6"/>
  <c r="Z235" i="6" s="1"/>
  <c r="Z21" i="17" s="1"/>
  <c r="Z209" i="6"/>
  <c r="Z319" i="6"/>
  <c r="Z321" i="6" s="1"/>
  <c r="Z313" i="6"/>
  <c r="AA314" i="6" s="1"/>
  <c r="Z2" i="9"/>
  <c r="Z241" i="6"/>
  <c r="Z243" i="6" s="1"/>
  <c r="Z20" i="16" s="1"/>
  <c r="Z182" i="6"/>
  <c r="Z184" i="6" s="1"/>
  <c r="Z189" i="6" s="1"/>
  <c r="Z190" i="6" s="1"/>
  <c r="Z194" i="6" s="1"/>
  <c r="Z114" i="6"/>
  <c r="Z115" i="6" s="1"/>
  <c r="Z92" i="6"/>
  <c r="Z176" i="6"/>
  <c r="Z177" i="6" s="1"/>
  <c r="Z52" i="6"/>
  <c r="Z147" i="6"/>
  <c r="Z72" i="6"/>
  <c r="Z32" i="6"/>
  <c r="Z2" i="6"/>
  <c r="Z120" i="6"/>
  <c r="Z122" i="6" s="1"/>
  <c r="Z127" i="6" s="1"/>
  <c r="Z128" i="6" s="1"/>
  <c r="Z132" i="6" s="1"/>
  <c r="N27" i="10"/>
  <c r="N29" i="10" s="1"/>
  <c r="Q8" i="31"/>
  <c r="R20" i="13"/>
  <c r="X19" i="37"/>
  <c r="Y83" i="12"/>
  <c r="Y85" i="12" s="1"/>
  <c r="Y13" i="37"/>
  <c r="Y20" i="18"/>
  <c r="Y22" i="18" s="1"/>
  <c r="Y49" i="12"/>
  <c r="Y61" i="12"/>
  <c r="Z18" i="37"/>
  <c r="Z62" i="12"/>
  <c r="Z22" i="13"/>
  <c r="Z30" i="13"/>
  <c r="Z84" i="12"/>
  <c r="Z61" i="20"/>
  <c r="Z67" i="20" s="1"/>
  <c r="M8" i="28"/>
  <c r="M19" i="16"/>
  <c r="M21" i="16" s="1"/>
  <c r="M26" i="11"/>
  <c r="M27" i="11" s="1"/>
  <c r="AA14" i="17"/>
  <c r="AA29" i="17"/>
  <c r="AA18" i="34" s="1"/>
  <c r="M39" i="16"/>
  <c r="M40" i="16" s="1"/>
  <c r="AA94" i="6"/>
  <c r="AA101" i="6"/>
  <c r="AA107" i="6"/>
  <c r="AB4" i="40"/>
  <c r="AB4" i="37"/>
  <c r="AB4" i="34"/>
  <c r="AB4" i="31"/>
  <c r="AB4" i="28"/>
  <c r="AB4" i="22"/>
  <c r="AB10" i="21"/>
  <c r="AB74" i="20"/>
  <c r="AB4" i="21"/>
  <c r="AB32" i="20"/>
  <c r="AB4" i="20"/>
  <c r="AB28" i="19"/>
  <c r="AB4" i="19"/>
  <c r="AB4" i="18"/>
  <c r="AB10" i="18"/>
  <c r="AB4" i="17"/>
  <c r="AB10" i="17"/>
  <c r="AB10" i="16"/>
  <c r="AB27" i="15"/>
  <c r="AB4" i="16"/>
  <c r="AB4" i="14"/>
  <c r="AB4" i="15"/>
  <c r="AB19" i="13"/>
  <c r="AB4" i="13"/>
  <c r="AB59" i="12"/>
  <c r="AB40" i="15"/>
  <c r="AB82" i="12"/>
  <c r="AB27" i="13"/>
  <c r="AB69" i="12"/>
  <c r="AB12" i="10"/>
  <c r="AB4" i="10"/>
  <c r="AB4" i="9"/>
  <c r="AB35" i="9"/>
  <c r="AB18" i="12"/>
  <c r="AB10" i="9"/>
  <c r="AB4" i="12"/>
  <c r="AB23" i="11"/>
  <c r="AB336" i="6"/>
  <c r="AB337" i="6" s="1"/>
  <c r="AB275" i="6"/>
  <c r="AB4" i="7"/>
  <c r="AB351" i="6"/>
  <c r="AB352" i="6" s="1"/>
  <c r="AB301" i="6"/>
  <c r="AB302" i="6" s="1"/>
  <c r="AB320" i="6"/>
  <c r="AB46" i="12"/>
  <c r="AB202" i="6"/>
  <c r="AB312" i="6"/>
  <c r="AB331" i="6"/>
  <c r="AB332" i="6" s="1"/>
  <c r="AB4" i="11"/>
  <c r="AB346" i="6"/>
  <c r="AB347" i="6" s="1"/>
  <c r="AB296" i="6"/>
  <c r="AB297" i="6" s="1"/>
  <c r="AB60" i="6"/>
  <c r="AB188" i="6"/>
  <c r="AB66" i="6"/>
  <c r="AB73" i="6"/>
  <c r="AB80" i="6"/>
  <c r="AB140" i="6"/>
  <c r="AB86" i="6"/>
  <c r="AB19" i="10"/>
  <c r="AB259" i="6"/>
  <c r="AB93" i="6"/>
  <c r="AB4" i="8"/>
  <c r="AB126" i="6"/>
  <c r="AB100" i="6"/>
  <c r="AB46" i="6"/>
  <c r="AB106" i="6"/>
  <c r="AB53" i="6"/>
  <c r="AB23" i="6"/>
  <c r="AB24" i="6" s="1"/>
  <c r="AB3" i="4" s="1"/>
  <c r="AB11" i="6"/>
  <c r="AB12" i="6" s="1"/>
  <c r="AB4" i="6"/>
  <c r="AC28" i="6"/>
  <c r="AC4" i="4" s="1"/>
  <c r="AB40" i="6"/>
  <c r="AB33" i="6"/>
  <c r="AB35" i="10"/>
  <c r="M27" i="18"/>
  <c r="M28" i="18" s="1"/>
  <c r="M40" i="18"/>
  <c r="M41" i="18" s="1"/>
  <c r="Q25" i="12"/>
  <c r="Q50" i="12"/>
  <c r="AA59" i="20"/>
  <c r="AA53" i="20"/>
  <c r="AA54" i="20" s="1"/>
  <c r="AA58" i="20" s="1"/>
  <c r="AA234" i="6"/>
  <c r="AA242" i="6"/>
  <c r="AA290" i="6"/>
  <c r="AA291" i="6" s="1"/>
  <c r="AA283" i="6"/>
  <c r="AA183" i="6"/>
  <c r="AA121" i="6"/>
  <c r="AA250" i="6"/>
  <c r="AA18" i="6"/>
  <c r="AA19" i="6" s="1"/>
  <c r="AA2" i="4" s="1"/>
  <c r="O9" i="31"/>
  <c r="P29" i="13"/>
  <c r="P31" i="13" s="1"/>
  <c r="P14" i="13"/>
  <c r="Y21" i="34" l="1"/>
  <c r="Y12" i="18"/>
  <c r="P32" i="13"/>
  <c r="P9" i="31" s="1"/>
  <c r="Q28" i="13"/>
  <c r="AA32" i="12"/>
  <c r="AA40" i="12"/>
  <c r="AA41" i="12" s="1"/>
  <c r="AA13" i="10"/>
  <c r="AA14" i="10" s="1"/>
  <c r="Q12" i="37"/>
  <c r="Q12" i="13"/>
  <c r="Q13" i="13" s="1"/>
  <c r="R47" i="12"/>
  <c r="AB9" i="37"/>
  <c r="AB17" i="12"/>
  <c r="AB22" i="10"/>
  <c r="AB42" i="10"/>
  <c r="AB3" i="40"/>
  <c r="AB3" i="37"/>
  <c r="AB3" i="34"/>
  <c r="AB3" i="31"/>
  <c r="AB3" i="28"/>
  <c r="AB3" i="22"/>
  <c r="AB3" i="21"/>
  <c r="AB3" i="20"/>
  <c r="AB3" i="19"/>
  <c r="AB3" i="18"/>
  <c r="AB3" i="17"/>
  <c r="AB3" i="16"/>
  <c r="AB3" i="15"/>
  <c r="AB3" i="13"/>
  <c r="AB3" i="14"/>
  <c r="AB3" i="12"/>
  <c r="AB3" i="11"/>
  <c r="AB3" i="10"/>
  <c r="AB3" i="9"/>
  <c r="AB3" i="8"/>
  <c r="AB3" i="7"/>
  <c r="AB59" i="6"/>
  <c r="AB79" i="6"/>
  <c r="AB39" i="6"/>
  <c r="AB99" i="6"/>
  <c r="AB3" i="6"/>
  <c r="M14" i="31"/>
  <c r="N24" i="11"/>
  <c r="AB34" i="6"/>
  <c r="AB47" i="6"/>
  <c r="AB41" i="6"/>
  <c r="AB14" i="37"/>
  <c r="AB72" i="12"/>
  <c r="AB64" i="12"/>
  <c r="AB76" i="12"/>
  <c r="AB77" i="12" s="1"/>
  <c r="M45" i="16"/>
  <c r="M46" i="16" s="1"/>
  <c r="M41" i="16"/>
  <c r="M32" i="16"/>
  <c r="M19" i="34"/>
  <c r="M26" i="16"/>
  <c r="O27" i="16" s="1"/>
  <c r="M12" i="16"/>
  <c r="Y49" i="15"/>
  <c r="Y12" i="14"/>
  <c r="Y34" i="15"/>
  <c r="Y27" i="14"/>
  <c r="Y9" i="28" s="1"/>
  <c r="Z8" i="37"/>
  <c r="Z34" i="10"/>
  <c r="Z16" i="12"/>
  <c r="Z21" i="10"/>
  <c r="Z41" i="10"/>
  <c r="Z43" i="10" s="1"/>
  <c r="Z25" i="14" s="1"/>
  <c r="Z26" i="14" s="1"/>
  <c r="AB94" i="6"/>
  <c r="AB101" i="6"/>
  <c r="AB107" i="6"/>
  <c r="Y19" i="37"/>
  <c r="Z83" i="12"/>
  <c r="Z85" i="12" s="1"/>
  <c r="AA26" i="31"/>
  <c r="AB11" i="21"/>
  <c r="AB13" i="21" s="1"/>
  <c r="AA29" i="9"/>
  <c r="AA2" i="40"/>
  <c r="AA2" i="37"/>
  <c r="AA2" i="34"/>
  <c r="AA2" i="31"/>
  <c r="AA2" i="28"/>
  <c r="AA2" i="21"/>
  <c r="AA2" i="22"/>
  <c r="AA60" i="20"/>
  <c r="AA2" i="20"/>
  <c r="AA2" i="19"/>
  <c r="AA2" i="18"/>
  <c r="AA2" i="17"/>
  <c r="AA2" i="16"/>
  <c r="AA2" i="15"/>
  <c r="AA2" i="14"/>
  <c r="AA2" i="13"/>
  <c r="AA2" i="11"/>
  <c r="AA2" i="12"/>
  <c r="AA2" i="10"/>
  <c r="AA249" i="6"/>
  <c r="AA251" i="6" s="1"/>
  <c r="AA21" i="18" s="1"/>
  <c r="AA2" i="8"/>
  <c r="AA2" i="7"/>
  <c r="AA233" i="6"/>
  <c r="AA235" i="6" s="1"/>
  <c r="AA21" i="17" s="1"/>
  <c r="AA209" i="6"/>
  <c r="AA319" i="6"/>
  <c r="AA321" i="6" s="1"/>
  <c r="AA313" i="6"/>
  <c r="AA2" i="9"/>
  <c r="AA241" i="6"/>
  <c r="AA243" i="6" s="1"/>
  <c r="AA20" i="16" s="1"/>
  <c r="AA176" i="6"/>
  <c r="AA177" i="6" s="1"/>
  <c r="AA52" i="6"/>
  <c r="AA147" i="6"/>
  <c r="AA72" i="6"/>
  <c r="AA282" i="6"/>
  <c r="AA284" i="6" s="1"/>
  <c r="AA276" i="6" s="1"/>
  <c r="AA277" i="6" s="1"/>
  <c r="AA270" i="6" s="1"/>
  <c r="AA120" i="6"/>
  <c r="AA122" i="6" s="1"/>
  <c r="AA127" i="6" s="1"/>
  <c r="AA128" i="6" s="1"/>
  <c r="AA132" i="6" s="1"/>
  <c r="AA32" i="6"/>
  <c r="AA2" i="6"/>
  <c r="AA182" i="6"/>
  <c r="AA184" i="6" s="1"/>
  <c r="AA189" i="6" s="1"/>
  <c r="AA190" i="6" s="1"/>
  <c r="AA194" i="6" s="1"/>
  <c r="AA114" i="6"/>
  <c r="AA115" i="6" s="1"/>
  <c r="AA92" i="6"/>
  <c r="Z54" i="6"/>
  <c r="Z61" i="6"/>
  <c r="Z67" i="6"/>
  <c r="Z13" i="37"/>
  <c r="Z20" i="18"/>
  <c r="Z22" i="18" s="1"/>
  <c r="Z61" i="12"/>
  <c r="Z49" i="12"/>
  <c r="M33" i="18"/>
  <c r="M42" i="18"/>
  <c r="M46" i="18"/>
  <c r="M47" i="18" s="1"/>
  <c r="R11" i="13"/>
  <c r="R23" i="13"/>
  <c r="Z224" i="6"/>
  <c r="Z203" i="6"/>
  <c r="AA18" i="37"/>
  <c r="AA22" i="13"/>
  <c r="AA30" i="13"/>
  <c r="AA84" i="12"/>
  <c r="AA62" i="12"/>
  <c r="M16" i="28"/>
  <c r="P13" i="28"/>
  <c r="M29" i="18"/>
  <c r="M14" i="18"/>
  <c r="AC4" i="40"/>
  <c r="AC4" i="37"/>
  <c r="AC4" i="34"/>
  <c r="AC4" i="31"/>
  <c r="AC4" i="28"/>
  <c r="AC4" i="22"/>
  <c r="AC4" i="21"/>
  <c r="AC10" i="21"/>
  <c r="AC4" i="20"/>
  <c r="AC28" i="19"/>
  <c r="AC74" i="20"/>
  <c r="AC32" i="20"/>
  <c r="AC4" i="19"/>
  <c r="AC4" i="18"/>
  <c r="AC10" i="18"/>
  <c r="AC4" i="17"/>
  <c r="AC4" i="16"/>
  <c r="AC40" i="15"/>
  <c r="AC10" i="16"/>
  <c r="AC10" i="17"/>
  <c r="AC4" i="15"/>
  <c r="AC27" i="15"/>
  <c r="AC27" i="13"/>
  <c r="AC82" i="12"/>
  <c r="AC4" i="14"/>
  <c r="AC4" i="13"/>
  <c r="AC46" i="12"/>
  <c r="AC69" i="12"/>
  <c r="AC19" i="13"/>
  <c r="AC59" i="12"/>
  <c r="AC12" i="10"/>
  <c r="AC4" i="10"/>
  <c r="AC35" i="9"/>
  <c r="AC4" i="8"/>
  <c r="AC18" i="12"/>
  <c r="AC4" i="12"/>
  <c r="AC23" i="11"/>
  <c r="AC4" i="11"/>
  <c r="AC19" i="10"/>
  <c r="AC4" i="7"/>
  <c r="AC351" i="6"/>
  <c r="AC352" i="6" s="1"/>
  <c r="AC301" i="6"/>
  <c r="AC302" i="6" s="1"/>
  <c r="AC320" i="6"/>
  <c r="AC4" i="9"/>
  <c r="AC202" i="6"/>
  <c r="AC312" i="6"/>
  <c r="AC331" i="6"/>
  <c r="AC332" i="6" s="1"/>
  <c r="AC10" i="9"/>
  <c r="AC346" i="6"/>
  <c r="AC347" i="6" s="1"/>
  <c r="AC296" i="6"/>
  <c r="AC297" i="6" s="1"/>
  <c r="AC259" i="6"/>
  <c r="AC188" i="6"/>
  <c r="AC66" i="6"/>
  <c r="AC336" i="6"/>
  <c r="AC337" i="6" s="1"/>
  <c r="AC275" i="6"/>
  <c r="AC73" i="6"/>
  <c r="AC80" i="6"/>
  <c r="AC4" i="6"/>
  <c r="AC140" i="6"/>
  <c r="AC86" i="6"/>
  <c r="AC33" i="6"/>
  <c r="AC93" i="6"/>
  <c r="AC126" i="6"/>
  <c r="AC100" i="6"/>
  <c r="AC46" i="6"/>
  <c r="AC106" i="6"/>
  <c r="AC53" i="6"/>
  <c r="AC23" i="6"/>
  <c r="AC24" i="6" s="1"/>
  <c r="AC3" i="4" s="1"/>
  <c r="AC11" i="6"/>
  <c r="AC12" i="6" s="1"/>
  <c r="AD28" i="6"/>
  <c r="AD4" i="4" s="1"/>
  <c r="AC60" i="6"/>
  <c r="AC40" i="6"/>
  <c r="AC35" i="10"/>
  <c r="AB314" i="6"/>
  <c r="AB74" i="6"/>
  <c r="AB81" i="6"/>
  <c r="AB87" i="6"/>
  <c r="N53" i="12"/>
  <c r="N54" i="12" s="1"/>
  <c r="N11" i="11"/>
  <c r="N12" i="11" s="1"/>
  <c r="N23" i="10"/>
  <c r="N24" i="10" s="1"/>
  <c r="M48" i="17"/>
  <c r="M34" i="17"/>
  <c r="M35" i="17" s="1"/>
  <c r="Z162" i="6"/>
  <c r="Z141" i="6"/>
  <c r="AA61" i="20"/>
  <c r="AA67" i="20" s="1"/>
  <c r="AB59" i="20"/>
  <c r="AB53" i="20"/>
  <c r="AB54" i="20" s="1"/>
  <c r="AB58" i="20" s="1"/>
  <c r="AB234" i="6"/>
  <c r="AB242" i="6"/>
  <c r="AB183" i="6"/>
  <c r="AB290" i="6"/>
  <c r="AB291" i="6" s="1"/>
  <c r="AB283" i="6"/>
  <c r="AB250" i="6"/>
  <c r="AB121" i="6"/>
  <c r="AB18" i="6"/>
  <c r="AB19" i="6" s="1"/>
  <c r="AB2" i="4" s="1"/>
  <c r="AB26" i="31" l="1"/>
  <c r="AC11" i="21"/>
  <c r="AB29" i="9"/>
  <c r="Z21" i="34"/>
  <c r="Z12" i="18"/>
  <c r="M23" i="34"/>
  <c r="AC3" i="40"/>
  <c r="AC3" i="37"/>
  <c r="AC3" i="34"/>
  <c r="AC3" i="31"/>
  <c r="AC3" i="28"/>
  <c r="AC3" i="22"/>
  <c r="AC3" i="21"/>
  <c r="AC3" i="20"/>
  <c r="AC3" i="19"/>
  <c r="AC3" i="18"/>
  <c r="AC3" i="17"/>
  <c r="AC3" i="16"/>
  <c r="AC3" i="14"/>
  <c r="AC3" i="15"/>
  <c r="AC3" i="13"/>
  <c r="AC3" i="12"/>
  <c r="AC3" i="11"/>
  <c r="AC3" i="10"/>
  <c r="AC3" i="8"/>
  <c r="AC3" i="7"/>
  <c r="AC59" i="6"/>
  <c r="AC79" i="6"/>
  <c r="AC99" i="6"/>
  <c r="AC39" i="6"/>
  <c r="AC3" i="6"/>
  <c r="AC3" i="9"/>
  <c r="AC13" i="21"/>
  <c r="Q29" i="13"/>
  <c r="Q14" i="13"/>
  <c r="Q13" i="28" s="1"/>
  <c r="AC9" i="37"/>
  <c r="AC22" i="10"/>
  <c r="AC17" i="12"/>
  <c r="AC42" i="10"/>
  <c r="AC14" i="37"/>
  <c r="AC64" i="12"/>
  <c r="AC72" i="12"/>
  <c r="AC76" i="12"/>
  <c r="AC77" i="12" s="1"/>
  <c r="AA61" i="6"/>
  <c r="AA67" i="6"/>
  <c r="AA54" i="6"/>
  <c r="AC34" i="6"/>
  <c r="AC41" i="6"/>
  <c r="AC47" i="6"/>
  <c r="O28" i="16"/>
  <c r="O14" i="16"/>
  <c r="AB18" i="37"/>
  <c r="AB30" i="13"/>
  <c r="AB84" i="12"/>
  <c r="AB22" i="13"/>
  <c r="AB62" i="12"/>
  <c r="AA8" i="37"/>
  <c r="AA34" i="10"/>
  <c r="AA16" i="12"/>
  <c r="AA21" i="10"/>
  <c r="AA41" i="10"/>
  <c r="AA43" i="10" s="1"/>
  <c r="AA25" i="14" s="1"/>
  <c r="AA26" i="14" s="1"/>
  <c r="AB2" i="40"/>
  <c r="AB2" i="37"/>
  <c r="AB2" i="34"/>
  <c r="AB2" i="31"/>
  <c r="AB2" i="28"/>
  <c r="AB2" i="22"/>
  <c r="AB2" i="21"/>
  <c r="AB2" i="20"/>
  <c r="AB60" i="20"/>
  <c r="AB2" i="19"/>
  <c r="AB2" i="18"/>
  <c r="AB2" i="17"/>
  <c r="AB2" i="16"/>
  <c r="AB2" i="14"/>
  <c r="AB2" i="15"/>
  <c r="AB2" i="13"/>
  <c r="AB2" i="12"/>
  <c r="AB2" i="10"/>
  <c r="AB2" i="9"/>
  <c r="AB2" i="8"/>
  <c r="AB2" i="7"/>
  <c r="AB233" i="6"/>
  <c r="AB235" i="6" s="1"/>
  <c r="AB21" i="17" s="1"/>
  <c r="AB209" i="6"/>
  <c r="AB319" i="6"/>
  <c r="AB321" i="6" s="1"/>
  <c r="AB313" i="6"/>
  <c r="AB241" i="6"/>
  <c r="AB243" i="6" s="1"/>
  <c r="AB20" i="16" s="1"/>
  <c r="AB2" i="11"/>
  <c r="AB282" i="6"/>
  <c r="AB284" i="6" s="1"/>
  <c r="AB276" i="6" s="1"/>
  <c r="AB277" i="6" s="1"/>
  <c r="AB270" i="6" s="1"/>
  <c r="AB52" i="6"/>
  <c r="AB147" i="6"/>
  <c r="AB72" i="6"/>
  <c r="AB249" i="6"/>
  <c r="AB251" i="6" s="1"/>
  <c r="AB21" i="18" s="1"/>
  <c r="AB120" i="6"/>
  <c r="AB122" i="6" s="1"/>
  <c r="AB127" i="6" s="1"/>
  <c r="AB128" i="6" s="1"/>
  <c r="AB132" i="6" s="1"/>
  <c r="AB182" i="6"/>
  <c r="AB184" i="6" s="1"/>
  <c r="AB189" i="6" s="1"/>
  <c r="AB190" i="6" s="1"/>
  <c r="AB194" i="6" s="1"/>
  <c r="AB114" i="6"/>
  <c r="AB115" i="6" s="1"/>
  <c r="AB92" i="6"/>
  <c r="AB2" i="6"/>
  <c r="AB32" i="6"/>
  <c r="AB176" i="6"/>
  <c r="AB177" i="6" s="1"/>
  <c r="AC94" i="6"/>
  <c r="AC101" i="6"/>
  <c r="AC107" i="6"/>
  <c r="AA162" i="6"/>
  <c r="AA141" i="6"/>
  <c r="AA13" i="37"/>
  <c r="AA20" i="18"/>
  <c r="AA61" i="12"/>
  <c r="AA49" i="12"/>
  <c r="AB61" i="20"/>
  <c r="AB67" i="20" s="1"/>
  <c r="N10" i="37"/>
  <c r="O20" i="10"/>
  <c r="N24" i="12"/>
  <c r="N26" i="12" s="1"/>
  <c r="R8" i="31"/>
  <c r="S20" i="13"/>
  <c r="AA203" i="6"/>
  <c r="AA224" i="6"/>
  <c r="Z49" i="15"/>
  <c r="Z34" i="15"/>
  <c r="Z27" i="14"/>
  <c r="Z9" i="28" s="1"/>
  <c r="Z12" i="14"/>
  <c r="M13" i="17"/>
  <c r="M15" i="17" s="1"/>
  <c r="N16" i="19"/>
  <c r="N17" i="19" s="1"/>
  <c r="N20" i="15"/>
  <c r="N42" i="15"/>
  <c r="N25" i="11"/>
  <c r="AD4" i="40"/>
  <c r="AD4" i="37"/>
  <c r="AD4" i="34"/>
  <c r="AD4" i="31"/>
  <c r="AD4" i="28"/>
  <c r="AD4" i="21"/>
  <c r="AD4" i="22"/>
  <c r="AD10" i="21"/>
  <c r="AD74" i="20"/>
  <c r="AD4" i="20"/>
  <c r="AD28" i="19"/>
  <c r="AD32" i="20"/>
  <c r="AD4" i="18"/>
  <c r="AD10" i="17"/>
  <c r="AD4" i="17"/>
  <c r="AD10" i="18"/>
  <c r="AD27" i="15"/>
  <c r="AD4" i="19"/>
  <c r="AD4" i="16"/>
  <c r="AD10" i="16"/>
  <c r="AD40" i="15"/>
  <c r="AD4" i="15"/>
  <c r="AD69" i="12"/>
  <c r="AD19" i="13"/>
  <c r="AD4" i="13"/>
  <c r="AD27" i="13"/>
  <c r="AD4" i="14"/>
  <c r="AD82" i="12"/>
  <c r="AD4" i="12"/>
  <c r="AD46" i="12"/>
  <c r="AD59" i="12"/>
  <c r="AD18" i="12"/>
  <c r="AD23" i="11"/>
  <c r="AD4" i="11"/>
  <c r="AD19" i="10"/>
  <c r="AD12" i="10"/>
  <c r="AD4" i="10"/>
  <c r="AD320" i="6"/>
  <c r="AD4" i="9"/>
  <c r="AD202" i="6"/>
  <c r="AD312" i="6"/>
  <c r="AD331" i="6"/>
  <c r="AD332" i="6" s="1"/>
  <c r="AD188" i="6"/>
  <c r="AD10" i="9"/>
  <c r="AD346" i="6"/>
  <c r="AD347" i="6" s="1"/>
  <c r="AD296" i="6"/>
  <c r="AD297" i="6" s="1"/>
  <c r="AD35" i="9"/>
  <c r="AD259" i="6"/>
  <c r="AD4" i="8"/>
  <c r="AD336" i="6"/>
  <c r="AD337" i="6" s="1"/>
  <c r="AD275" i="6"/>
  <c r="AD73" i="6"/>
  <c r="AD4" i="7"/>
  <c r="AD80" i="6"/>
  <c r="AD4" i="6"/>
  <c r="AD301" i="6"/>
  <c r="AD302" i="6" s="1"/>
  <c r="AD140" i="6"/>
  <c r="AD86" i="6"/>
  <c r="AD33" i="6"/>
  <c r="AD11" i="6"/>
  <c r="AD12" i="6" s="1"/>
  <c r="AD93" i="6"/>
  <c r="AD40" i="6"/>
  <c r="AE28" i="6"/>
  <c r="AE4" i="4" s="1"/>
  <c r="AD126" i="6"/>
  <c r="AD100" i="6"/>
  <c r="AD351" i="6"/>
  <c r="AD352" i="6" s="1"/>
  <c r="AD106" i="6"/>
  <c r="AD53" i="6"/>
  <c r="AD60" i="6"/>
  <c r="AD23" i="6"/>
  <c r="AD24" i="6" s="1"/>
  <c r="AD3" i="4" s="1"/>
  <c r="AD66" i="6"/>
  <c r="AD46" i="6"/>
  <c r="AD35" i="10"/>
  <c r="AC74" i="6"/>
  <c r="AC81" i="6"/>
  <c r="AC87" i="6"/>
  <c r="AC314" i="6"/>
  <c r="M22" i="34"/>
  <c r="M48" i="18"/>
  <c r="M34" i="18"/>
  <c r="M35" i="18" s="1"/>
  <c r="AA22" i="18"/>
  <c r="M17" i="28"/>
  <c r="Q31" i="13"/>
  <c r="AB40" i="12"/>
  <c r="AB13" i="10"/>
  <c r="AB14" i="10" s="1"/>
  <c r="AB32" i="12"/>
  <c r="N16" i="37"/>
  <c r="N71" i="12"/>
  <c r="N73" i="12" s="1"/>
  <c r="N63" i="12"/>
  <c r="N65" i="12" s="1"/>
  <c r="AC59" i="20"/>
  <c r="AC53" i="20"/>
  <c r="AC54" i="20" s="1"/>
  <c r="AC58" i="20" s="1"/>
  <c r="AC242" i="6"/>
  <c r="AC183" i="6"/>
  <c r="AC290" i="6"/>
  <c r="AC291" i="6" s="1"/>
  <c r="AC283" i="6"/>
  <c r="AC250" i="6"/>
  <c r="AC234" i="6"/>
  <c r="AC121" i="6"/>
  <c r="AC18" i="6"/>
  <c r="AC19" i="6" s="1"/>
  <c r="AC2" i="4" s="1"/>
  <c r="M18" i="28"/>
  <c r="Z19" i="37"/>
  <c r="AA83" i="12"/>
  <c r="AA85" i="12" s="1"/>
  <c r="M47" i="16"/>
  <c r="M33" i="16"/>
  <c r="M34" i="16" s="1"/>
  <c r="R25" i="12"/>
  <c r="R50" i="12"/>
  <c r="M13" i="16" l="1"/>
  <c r="M15" i="16" s="1"/>
  <c r="M13" i="18"/>
  <c r="M15" i="18" s="1"/>
  <c r="AD53" i="20"/>
  <c r="AD54" i="20" s="1"/>
  <c r="AD58" i="20" s="1"/>
  <c r="AD59" i="20"/>
  <c r="AD242" i="6"/>
  <c r="AD183" i="6"/>
  <c r="AD290" i="6"/>
  <c r="AD291" i="6" s="1"/>
  <c r="AD283" i="6"/>
  <c r="AD250" i="6"/>
  <c r="AD234" i="6"/>
  <c r="AD121" i="6"/>
  <c r="AD18" i="6"/>
  <c r="AD19" i="6" s="1"/>
  <c r="AD2" i="4" s="1"/>
  <c r="AD9" i="37"/>
  <c r="AD17" i="12"/>
  <c r="AD42" i="10"/>
  <c r="AD22" i="10"/>
  <c r="N31" i="12"/>
  <c r="AB67" i="6"/>
  <c r="AB54" i="6"/>
  <c r="AB61" i="6"/>
  <c r="AA34" i="15"/>
  <c r="AA12" i="14"/>
  <c r="AA27" i="14"/>
  <c r="AA9" i="28" s="1"/>
  <c r="AA49" i="15"/>
  <c r="AC40" i="12"/>
  <c r="AC32" i="12"/>
  <c r="AC13" i="10"/>
  <c r="AC14" i="10" s="1"/>
  <c r="N15" i="37"/>
  <c r="O60" i="12"/>
  <c r="M25" i="34"/>
  <c r="AD94" i="6"/>
  <c r="AD101" i="6"/>
  <c r="AD107" i="6"/>
  <c r="AD81" i="6"/>
  <c r="AD87" i="6"/>
  <c r="AD74" i="6"/>
  <c r="S11" i="13"/>
  <c r="S23" i="13"/>
  <c r="O28" i="10"/>
  <c r="AB203" i="6"/>
  <c r="AB224" i="6"/>
  <c r="AC26" i="31"/>
  <c r="AD11" i="21"/>
  <c r="AD13" i="21" s="1"/>
  <c r="AC29" i="9"/>
  <c r="N17" i="37"/>
  <c r="O70" i="12"/>
  <c r="N17" i="11"/>
  <c r="N18" i="11" s="1"/>
  <c r="Q32" i="13"/>
  <c r="Q9" i="31" s="1"/>
  <c r="R28" i="13"/>
  <c r="AA21" i="34"/>
  <c r="AA12" i="18"/>
  <c r="R12" i="37"/>
  <c r="R12" i="13"/>
  <c r="R13" i="13" s="1"/>
  <c r="S47" i="12"/>
  <c r="AD34" i="6"/>
  <c r="AD41" i="6"/>
  <c r="AD47" i="6"/>
  <c r="AD14" i="37"/>
  <c r="AD76" i="12"/>
  <c r="AD77" i="12" s="1"/>
  <c r="AD64" i="12"/>
  <c r="AD72" i="12"/>
  <c r="N21" i="19"/>
  <c r="N43" i="15"/>
  <c r="N45" i="15" s="1"/>
  <c r="N21" i="15"/>
  <c r="P22" i="15" s="1"/>
  <c r="M24" i="34"/>
  <c r="AC2" i="40"/>
  <c r="AC2" i="37"/>
  <c r="AC2" i="34"/>
  <c r="AC2" i="31"/>
  <c r="AC2" i="28"/>
  <c r="AC2" i="21"/>
  <c r="AC2" i="22"/>
  <c r="AC2" i="20"/>
  <c r="AC2" i="19"/>
  <c r="AC2" i="18"/>
  <c r="AC2" i="17"/>
  <c r="AC2" i="16"/>
  <c r="AC60" i="20"/>
  <c r="AC61" i="20" s="1"/>
  <c r="AC67" i="20" s="1"/>
  <c r="AC2" i="15"/>
  <c r="AC2" i="14"/>
  <c r="AC2" i="13"/>
  <c r="AC2" i="10"/>
  <c r="AC2" i="8"/>
  <c r="AC2" i="11"/>
  <c r="AC2" i="7"/>
  <c r="AC233" i="6"/>
  <c r="AC235" i="6" s="1"/>
  <c r="AC21" i="17" s="1"/>
  <c r="AC2" i="12"/>
  <c r="AC319" i="6"/>
  <c r="AC321" i="6" s="1"/>
  <c r="AC313" i="6"/>
  <c r="AD314" i="6" s="1"/>
  <c r="AC241" i="6"/>
  <c r="AC243" i="6" s="1"/>
  <c r="AC20" i="16" s="1"/>
  <c r="AC182" i="6"/>
  <c r="AC184" i="6" s="1"/>
  <c r="AC189" i="6" s="1"/>
  <c r="AC190" i="6" s="1"/>
  <c r="AC194" i="6" s="1"/>
  <c r="AC2" i="9"/>
  <c r="AC282" i="6"/>
  <c r="AC284" i="6" s="1"/>
  <c r="AC276" i="6" s="1"/>
  <c r="AC277" i="6" s="1"/>
  <c r="AC270" i="6" s="1"/>
  <c r="AC249" i="6"/>
  <c r="AC251" i="6" s="1"/>
  <c r="AC21" i="18" s="1"/>
  <c r="AC147" i="6"/>
  <c r="AC209" i="6"/>
  <c r="AC72" i="6"/>
  <c r="AC120" i="6"/>
  <c r="AC122" i="6" s="1"/>
  <c r="AC127" i="6" s="1"/>
  <c r="AC128" i="6" s="1"/>
  <c r="AC132" i="6" s="1"/>
  <c r="AC114" i="6"/>
  <c r="AC115" i="6" s="1"/>
  <c r="AC92" i="6"/>
  <c r="AC176" i="6"/>
  <c r="AC177" i="6" s="1"/>
  <c r="AC52" i="6"/>
  <c r="AC2" i="6"/>
  <c r="AC32" i="6"/>
  <c r="AE4" i="40"/>
  <c r="AE4" i="37"/>
  <c r="AE4" i="34"/>
  <c r="AE4" i="31"/>
  <c r="AE4" i="22"/>
  <c r="AE10" i="21"/>
  <c r="AE4" i="28"/>
  <c r="AE4" i="21"/>
  <c r="AE4" i="20"/>
  <c r="AE28" i="19"/>
  <c r="AE32" i="20"/>
  <c r="AE74" i="20"/>
  <c r="AE4" i="18"/>
  <c r="AE4" i="19"/>
  <c r="AE10" i="18"/>
  <c r="AE40" i="15"/>
  <c r="AE4" i="17"/>
  <c r="AE10" i="16"/>
  <c r="AE10" i="17"/>
  <c r="AE4" i="16"/>
  <c r="AE4" i="14"/>
  <c r="AE4" i="15"/>
  <c r="AE27" i="15"/>
  <c r="AE69" i="12"/>
  <c r="AE19" i="13"/>
  <c r="AE4" i="13"/>
  <c r="AE27" i="13"/>
  <c r="AE82" i="12"/>
  <c r="AE46" i="12"/>
  <c r="AE18" i="12"/>
  <c r="AE23" i="11"/>
  <c r="AE4" i="12"/>
  <c r="AE4" i="11"/>
  <c r="AE19" i="10"/>
  <c r="AE12" i="10"/>
  <c r="AE4" i="10"/>
  <c r="AE4" i="9"/>
  <c r="AE312" i="6"/>
  <c r="AE59" i="12"/>
  <c r="AE331" i="6"/>
  <c r="AE332" i="6" s="1"/>
  <c r="AE188" i="6"/>
  <c r="AE10" i="9"/>
  <c r="AE346" i="6"/>
  <c r="AE347" i="6" s="1"/>
  <c r="AE296" i="6"/>
  <c r="AE297" i="6" s="1"/>
  <c r="AE35" i="9"/>
  <c r="AE259" i="6"/>
  <c r="AE4" i="8"/>
  <c r="AE336" i="6"/>
  <c r="AE337" i="6" s="1"/>
  <c r="AE275" i="6"/>
  <c r="AE4" i="7"/>
  <c r="AE351" i="6"/>
  <c r="AE352" i="6" s="1"/>
  <c r="AE301" i="6"/>
  <c r="AE302" i="6" s="1"/>
  <c r="AE320" i="6"/>
  <c r="AE80" i="6"/>
  <c r="AE140" i="6"/>
  <c r="AE86" i="6"/>
  <c r="AE33" i="6"/>
  <c r="AE11" i="6"/>
  <c r="AE12" i="6" s="1"/>
  <c r="AE93" i="6"/>
  <c r="AE40" i="6"/>
  <c r="AF28" i="6"/>
  <c r="AF4" i="4" s="1"/>
  <c r="AE126" i="6"/>
  <c r="AE100" i="6"/>
  <c r="AE46" i="6"/>
  <c r="AE106" i="6"/>
  <c r="AE53" i="6"/>
  <c r="AE60" i="6"/>
  <c r="AE66" i="6"/>
  <c r="AE73" i="6"/>
  <c r="AE23" i="6"/>
  <c r="AE24" i="6" s="1"/>
  <c r="AE3" i="4" s="1"/>
  <c r="AE4" i="6"/>
  <c r="AE202" i="6"/>
  <c r="AE35" i="10"/>
  <c r="AA19" i="37"/>
  <c r="AB83" i="12"/>
  <c r="AB85" i="12" s="1"/>
  <c r="AB8" i="37"/>
  <c r="AB16" i="12"/>
  <c r="AB34" i="10"/>
  <c r="AB21" i="10"/>
  <c r="AB41" i="10"/>
  <c r="AB43" i="10" s="1"/>
  <c r="AB25" i="14" s="1"/>
  <c r="AB26" i="14" s="1"/>
  <c r="AD3" i="40"/>
  <c r="AD3" i="37"/>
  <c r="AD3" i="34"/>
  <c r="AD3" i="31"/>
  <c r="AD3" i="28"/>
  <c r="AD3" i="22"/>
  <c r="AD3" i="21"/>
  <c r="AD3" i="20"/>
  <c r="AD3" i="19"/>
  <c r="AD3" i="18"/>
  <c r="AD3" i="17"/>
  <c r="AD3" i="16"/>
  <c r="AD3" i="14"/>
  <c r="AD3" i="13"/>
  <c r="AD3" i="15"/>
  <c r="AD3" i="11"/>
  <c r="AD3" i="12"/>
  <c r="AD3" i="10"/>
  <c r="AD3" i="8"/>
  <c r="AD3" i="7"/>
  <c r="AD3" i="9"/>
  <c r="AD79" i="6"/>
  <c r="AD99" i="6"/>
  <c r="AD59" i="6"/>
  <c r="AD39" i="6"/>
  <c r="AD3" i="6"/>
  <c r="M16" i="31"/>
  <c r="N11" i="17"/>
  <c r="AB162" i="6"/>
  <c r="AB141" i="6"/>
  <c r="O20" i="34"/>
  <c r="AC18" i="37"/>
  <c r="AC30" i="13"/>
  <c r="AC84" i="12"/>
  <c r="AC22" i="13"/>
  <c r="AC62" i="12"/>
  <c r="P8" i="34" l="1"/>
  <c r="P44" i="15"/>
  <c r="N10" i="31"/>
  <c r="O41" i="15"/>
  <c r="AD26" i="31"/>
  <c r="AE11" i="21"/>
  <c r="AE13" i="21" s="1"/>
  <c r="AD29" i="9"/>
  <c r="AE53" i="20"/>
  <c r="AE54" i="20" s="1"/>
  <c r="AE58" i="20" s="1"/>
  <c r="AE59" i="20"/>
  <c r="AE242" i="6"/>
  <c r="AE290" i="6"/>
  <c r="AE291" i="6" s="1"/>
  <c r="AE283" i="6"/>
  <c r="AE250" i="6"/>
  <c r="AE234" i="6"/>
  <c r="AE121" i="6"/>
  <c r="AE18" i="6"/>
  <c r="AE19" i="6" s="1"/>
  <c r="AE2" i="4" s="1"/>
  <c r="AE183" i="6"/>
  <c r="S8" i="31"/>
  <c r="T20" i="13"/>
  <c r="M17" i="31"/>
  <c r="N11" i="16"/>
  <c r="AB19" i="37"/>
  <c r="AC83" i="12"/>
  <c r="AC85" i="12" s="1"/>
  <c r="AC203" i="6"/>
  <c r="AC224" i="6"/>
  <c r="AE87" i="6"/>
  <c r="AE74" i="6"/>
  <c r="AE81" i="6"/>
  <c r="AD2" i="40"/>
  <c r="AD2" i="37"/>
  <c r="AD2" i="34"/>
  <c r="AD2" i="28"/>
  <c r="AD2" i="31"/>
  <c r="AD2" i="21"/>
  <c r="AD2" i="22"/>
  <c r="AD2" i="20"/>
  <c r="AD60" i="20"/>
  <c r="AD61" i="20" s="1"/>
  <c r="AD67" i="20" s="1"/>
  <c r="AD2" i="18"/>
  <c r="AD2" i="19"/>
  <c r="AD2" i="17"/>
  <c r="AD2" i="16"/>
  <c r="AD2" i="15"/>
  <c r="AD2" i="13"/>
  <c r="AD2" i="14"/>
  <c r="AD2" i="12"/>
  <c r="AD2" i="11"/>
  <c r="AD2" i="8"/>
  <c r="AD319" i="6"/>
  <c r="AD321" i="6" s="1"/>
  <c r="AD313" i="6"/>
  <c r="AD241" i="6"/>
  <c r="AD243" i="6" s="1"/>
  <c r="AD20" i="16" s="1"/>
  <c r="AD182" i="6"/>
  <c r="AD184" i="6" s="1"/>
  <c r="AD189" i="6" s="1"/>
  <c r="AD190" i="6" s="1"/>
  <c r="AD194" i="6" s="1"/>
  <c r="AD2" i="9"/>
  <c r="AD176" i="6"/>
  <c r="AD177" i="6" s="1"/>
  <c r="AD282" i="6"/>
  <c r="AD284" i="6" s="1"/>
  <c r="AD276" i="6" s="1"/>
  <c r="AD277" i="6" s="1"/>
  <c r="AD270" i="6" s="1"/>
  <c r="AD249" i="6"/>
  <c r="AD251" i="6" s="1"/>
  <c r="AD21" i="18" s="1"/>
  <c r="AD2" i="7"/>
  <c r="AD147" i="6"/>
  <c r="AD209" i="6"/>
  <c r="AD72" i="6"/>
  <c r="AD120" i="6"/>
  <c r="AD122" i="6" s="1"/>
  <c r="AD127" i="6" s="1"/>
  <c r="AD128" i="6" s="1"/>
  <c r="AD132" i="6" s="1"/>
  <c r="AD32" i="6"/>
  <c r="AD233" i="6"/>
  <c r="AD235" i="6" s="1"/>
  <c r="AD21" i="17" s="1"/>
  <c r="AD114" i="6"/>
  <c r="AD115" i="6" s="1"/>
  <c r="AD92" i="6"/>
  <c r="AD52" i="6"/>
  <c r="AD2" i="10"/>
  <c r="AD2" i="6"/>
  <c r="AC162" i="6"/>
  <c r="AC141" i="6"/>
  <c r="N8" i="28"/>
  <c r="N19" i="16"/>
  <c r="N21" i="16" s="1"/>
  <c r="N26" i="11"/>
  <c r="N27" i="11" s="1"/>
  <c r="O27" i="10"/>
  <c r="O29" i="10" s="1"/>
  <c r="N40" i="17"/>
  <c r="N41" i="17" s="1"/>
  <c r="AB49" i="15"/>
  <c r="AB34" i="15"/>
  <c r="AB27" i="14"/>
  <c r="AB9" i="28" s="1"/>
  <c r="AB12" i="14"/>
  <c r="AE3" i="40"/>
  <c r="AE3" i="37"/>
  <c r="AE3" i="34"/>
  <c r="AE3" i="31"/>
  <c r="AE3" i="28"/>
  <c r="AE3" i="21"/>
  <c r="AE3" i="22"/>
  <c r="AE3" i="19"/>
  <c r="AE3" i="20"/>
  <c r="AE3" i="18"/>
  <c r="AE3" i="17"/>
  <c r="AE3" i="16"/>
  <c r="AE3" i="15"/>
  <c r="AE3" i="14"/>
  <c r="AE3" i="13"/>
  <c r="AE3" i="11"/>
  <c r="AE3" i="12"/>
  <c r="AE3" i="10"/>
  <c r="AE3" i="8"/>
  <c r="AE3" i="7"/>
  <c r="AE3" i="9"/>
  <c r="AE79" i="6"/>
  <c r="AE39" i="6"/>
  <c r="AE99" i="6"/>
  <c r="AE59" i="6"/>
  <c r="AE3" i="6"/>
  <c r="AE314" i="6"/>
  <c r="AE14" i="37"/>
  <c r="AE64" i="12"/>
  <c r="AE72" i="12"/>
  <c r="AE76" i="12"/>
  <c r="AE77" i="12" s="1"/>
  <c r="AD18" i="37"/>
  <c r="AD22" i="13"/>
  <c r="AD30" i="13"/>
  <c r="AD84" i="12"/>
  <c r="AD62" i="12"/>
  <c r="S25" i="12"/>
  <c r="S50" i="12"/>
  <c r="AF4" i="40"/>
  <c r="AF4" i="37"/>
  <c r="AF4" i="34"/>
  <c r="AF4" i="31"/>
  <c r="AF4" i="22"/>
  <c r="AF74" i="20"/>
  <c r="AF4" i="28"/>
  <c r="AF4" i="21"/>
  <c r="AF10" i="21"/>
  <c r="AF32" i="20"/>
  <c r="AF4" i="20"/>
  <c r="AF28" i="19"/>
  <c r="AF10" i="18"/>
  <c r="AF10" i="17"/>
  <c r="AF4" i="19"/>
  <c r="AF4" i="18"/>
  <c r="AF4" i="17"/>
  <c r="AF4" i="16"/>
  <c r="AF10" i="16"/>
  <c r="AF40" i="15"/>
  <c r="AF4" i="15"/>
  <c r="AF27" i="15"/>
  <c r="AF19" i="13"/>
  <c r="AF4" i="13"/>
  <c r="AF27" i="13"/>
  <c r="AF82" i="12"/>
  <c r="AF4" i="14"/>
  <c r="AF46" i="12"/>
  <c r="AF59" i="12"/>
  <c r="AF18" i="12"/>
  <c r="AF10" i="9"/>
  <c r="AF23" i="11"/>
  <c r="AF4" i="12"/>
  <c r="AF4" i="11"/>
  <c r="AF19" i="10"/>
  <c r="AF12" i="10"/>
  <c r="AF4" i="10"/>
  <c r="AF4" i="9"/>
  <c r="AF4" i="7"/>
  <c r="AF312" i="6"/>
  <c r="AF331" i="6"/>
  <c r="AF332" i="6" s="1"/>
  <c r="AF188" i="6"/>
  <c r="AF346" i="6"/>
  <c r="AF347" i="6" s="1"/>
  <c r="AF296" i="6"/>
  <c r="AF297" i="6" s="1"/>
  <c r="AF35" i="9"/>
  <c r="AF259" i="6"/>
  <c r="AF4" i="8"/>
  <c r="AF336" i="6"/>
  <c r="AF337" i="6" s="1"/>
  <c r="AF275" i="6"/>
  <c r="AF351" i="6"/>
  <c r="AF352" i="6" s="1"/>
  <c r="AF301" i="6"/>
  <c r="AF302" i="6" s="1"/>
  <c r="AF69" i="12"/>
  <c r="AF320" i="6"/>
  <c r="AF140" i="6"/>
  <c r="AF86" i="6"/>
  <c r="AF93" i="6"/>
  <c r="AF40" i="6"/>
  <c r="AG28" i="6"/>
  <c r="AG4" i="4" s="1"/>
  <c r="AF126" i="6"/>
  <c r="AF100" i="6"/>
  <c r="AF46" i="6"/>
  <c r="AF106" i="6"/>
  <c r="AF53" i="6"/>
  <c r="AF23" i="6"/>
  <c r="AF24" i="6" s="1"/>
  <c r="AF3" i="4" s="1"/>
  <c r="AF60" i="6"/>
  <c r="AF66" i="6"/>
  <c r="AF202" i="6"/>
  <c r="AF73" i="6"/>
  <c r="AF11" i="6"/>
  <c r="AF12" i="6" s="1"/>
  <c r="AF4" i="6"/>
  <c r="AF80" i="6"/>
  <c r="AF33" i="6"/>
  <c r="AF35" i="10"/>
  <c r="R29" i="13"/>
  <c r="R31" i="13" s="1"/>
  <c r="R14" i="13"/>
  <c r="R13" i="28" s="1"/>
  <c r="AC8" i="37"/>
  <c r="AC16" i="12"/>
  <c r="AC21" i="10"/>
  <c r="AC41" i="10"/>
  <c r="AC43" i="10" s="1"/>
  <c r="AC25" i="14" s="1"/>
  <c r="AC26" i="14" s="1"/>
  <c r="AC34" i="10"/>
  <c r="AE41" i="6"/>
  <c r="AE47" i="6"/>
  <c r="AE34" i="6"/>
  <c r="AC54" i="6"/>
  <c r="AC61" i="6"/>
  <c r="AC67" i="6"/>
  <c r="M18" i="31"/>
  <c r="N11" i="18"/>
  <c r="AE9" i="37"/>
  <c r="AE17" i="12"/>
  <c r="AE42" i="10"/>
  <c r="AE22" i="10"/>
  <c r="AE94" i="6"/>
  <c r="AE101" i="6"/>
  <c r="AE107" i="6"/>
  <c r="AD40" i="12"/>
  <c r="AD32" i="12"/>
  <c r="AD13" i="10"/>
  <c r="AD14" i="10" s="1"/>
  <c r="R32" i="13" l="1"/>
  <c r="R9" i="31" s="1"/>
  <c r="S28" i="13"/>
  <c r="AF9" i="37"/>
  <c r="AF17" i="12"/>
  <c r="AF22" i="10"/>
  <c r="AF42" i="10"/>
  <c r="AF47" i="6"/>
  <c r="AF34" i="6"/>
  <c r="AF41" i="6"/>
  <c r="AD224" i="6"/>
  <c r="AD203" i="6"/>
  <c r="AD8" i="37"/>
  <c r="AD21" i="10"/>
  <c r="AD16" i="12"/>
  <c r="AD41" i="10"/>
  <c r="AD43" i="10" s="1"/>
  <c r="AD25" i="14" s="1"/>
  <c r="AD26" i="14" s="1"/>
  <c r="AD34" i="10"/>
  <c r="AG4" i="40"/>
  <c r="AG4" i="37"/>
  <c r="AG4" i="34"/>
  <c r="AG4" i="31"/>
  <c r="AG4" i="28"/>
  <c r="AG10" i="21"/>
  <c r="AG4" i="21"/>
  <c r="AG4" i="22"/>
  <c r="AG32" i="20"/>
  <c r="AG74" i="20"/>
  <c r="AG28" i="19"/>
  <c r="AG10" i="18"/>
  <c r="AG4" i="19"/>
  <c r="AG4" i="20"/>
  <c r="AG10" i="17"/>
  <c r="AG4" i="18"/>
  <c r="AG10" i="16"/>
  <c r="AG4" i="17"/>
  <c r="AG4" i="16"/>
  <c r="AG4" i="14"/>
  <c r="AG40" i="15"/>
  <c r="AG4" i="15"/>
  <c r="AG27" i="15"/>
  <c r="AG19" i="13"/>
  <c r="AG4" i="13"/>
  <c r="AG27" i="13"/>
  <c r="AG82" i="12"/>
  <c r="AG46" i="12"/>
  <c r="AG59" i="12"/>
  <c r="AG69" i="12"/>
  <c r="AG4" i="12"/>
  <c r="AG18" i="12"/>
  <c r="AG23" i="11"/>
  <c r="AG4" i="11"/>
  <c r="AG19" i="10"/>
  <c r="AG12" i="10"/>
  <c r="AG4" i="10"/>
  <c r="AG35" i="9"/>
  <c r="AG4" i="8"/>
  <c r="AG331" i="6"/>
  <c r="AG332" i="6" s="1"/>
  <c r="AG346" i="6"/>
  <c r="AG347" i="6" s="1"/>
  <c r="AG296" i="6"/>
  <c r="AG297" i="6" s="1"/>
  <c r="AG10" i="9"/>
  <c r="AG259" i="6"/>
  <c r="AG336" i="6"/>
  <c r="AG337" i="6" s="1"/>
  <c r="AG275" i="6"/>
  <c r="AG351" i="6"/>
  <c r="AG352" i="6" s="1"/>
  <c r="AG301" i="6"/>
  <c r="AG302" i="6" s="1"/>
  <c r="AG4" i="7"/>
  <c r="AG320" i="6"/>
  <c r="AG202" i="6"/>
  <c r="AG93" i="6"/>
  <c r="AG4" i="9"/>
  <c r="AG126" i="6"/>
  <c r="AG100" i="6"/>
  <c r="AG46" i="6"/>
  <c r="AG106" i="6"/>
  <c r="AG53" i="6"/>
  <c r="AG23" i="6"/>
  <c r="AG24" i="6" s="1"/>
  <c r="AG3" i="4" s="1"/>
  <c r="AG60" i="6"/>
  <c r="AG66" i="6"/>
  <c r="AG73" i="6"/>
  <c r="AG80" i="6"/>
  <c r="AG312" i="6"/>
  <c r="AG11" i="6"/>
  <c r="AG12" i="6" s="1"/>
  <c r="AG4" i="6"/>
  <c r="AG140" i="6"/>
  <c r="AH28" i="6"/>
  <c r="AH4" i="4" s="1"/>
  <c r="AG33" i="6"/>
  <c r="AG86" i="6"/>
  <c r="AG40" i="6"/>
  <c r="AG188" i="6"/>
  <c r="AG35" i="10"/>
  <c r="AF94" i="6"/>
  <c r="AF101" i="6"/>
  <c r="AF107" i="6"/>
  <c r="T11" i="13"/>
  <c r="T23" i="13"/>
  <c r="N14" i="31"/>
  <c r="O24" i="11"/>
  <c r="N27" i="18"/>
  <c r="N28" i="18" s="1"/>
  <c r="N40" i="18"/>
  <c r="N41" i="18" s="1"/>
  <c r="AF3" i="40"/>
  <c r="AF3" i="37"/>
  <c r="AF3" i="34"/>
  <c r="AF3" i="31"/>
  <c r="AF3" i="28"/>
  <c r="AF3" i="22"/>
  <c r="AF3" i="20"/>
  <c r="AF3" i="21"/>
  <c r="AF3" i="19"/>
  <c r="AF3" i="18"/>
  <c r="AF3" i="17"/>
  <c r="AF3" i="16"/>
  <c r="AF3" i="14"/>
  <c r="AF3" i="15"/>
  <c r="AF3" i="13"/>
  <c r="AF3" i="12"/>
  <c r="AF3" i="10"/>
  <c r="AF3" i="9"/>
  <c r="AF3" i="8"/>
  <c r="AF3" i="7"/>
  <c r="AF3" i="11"/>
  <c r="AF79" i="6"/>
  <c r="AF39" i="6"/>
  <c r="AF99" i="6"/>
  <c r="AF59" i="6"/>
  <c r="AF3" i="6"/>
  <c r="AF74" i="6"/>
  <c r="AF81" i="6"/>
  <c r="AF87" i="6"/>
  <c r="S12" i="37"/>
  <c r="S12" i="13"/>
  <c r="S13" i="13" s="1"/>
  <c r="T47" i="12"/>
  <c r="N19" i="34"/>
  <c r="N26" i="16"/>
  <c r="P27" i="16" s="1"/>
  <c r="N12" i="16"/>
  <c r="AE26" i="31"/>
  <c r="AF11" i="21"/>
  <c r="AF13" i="21" s="1"/>
  <c r="AE29" i="9"/>
  <c r="AC19" i="37"/>
  <c r="AD83" i="12"/>
  <c r="AD85" i="12" s="1"/>
  <c r="AE40" i="12"/>
  <c r="AE32" i="12"/>
  <c r="AE13" i="10"/>
  <c r="AE14" i="10" s="1"/>
  <c r="AF14" i="37"/>
  <c r="AF64" i="12"/>
  <c r="AF72" i="12"/>
  <c r="AF76" i="12"/>
  <c r="AF77" i="12" s="1"/>
  <c r="AD54" i="6"/>
  <c r="AD61" i="6"/>
  <c r="AD67" i="6"/>
  <c r="AC49" i="15"/>
  <c r="AC34" i="15"/>
  <c r="AC12" i="14"/>
  <c r="AC27" i="14"/>
  <c r="AC9" i="28" s="1"/>
  <c r="AF59" i="20"/>
  <c r="AF53" i="20"/>
  <c r="AF54" i="20" s="1"/>
  <c r="AF58" i="20" s="1"/>
  <c r="AF290" i="6"/>
  <c r="AF291" i="6" s="1"/>
  <c r="AF283" i="6"/>
  <c r="AF250" i="6"/>
  <c r="AF234" i="6"/>
  <c r="AF121" i="6"/>
  <c r="AF183" i="6"/>
  <c r="AF242" i="6"/>
  <c r="AF18" i="6"/>
  <c r="AF19" i="6" s="1"/>
  <c r="AF2" i="4" s="1"/>
  <c r="AE18" i="37"/>
  <c r="AE22" i="13"/>
  <c r="AE30" i="13"/>
  <c r="AE84" i="12"/>
  <c r="AE62" i="12"/>
  <c r="N33" i="17"/>
  <c r="N42" i="17"/>
  <c r="N46" i="17"/>
  <c r="N47" i="17" s="1"/>
  <c r="AD162" i="6"/>
  <c r="AD141" i="6"/>
  <c r="N39" i="16"/>
  <c r="N40" i="16" s="1"/>
  <c r="O53" i="12"/>
  <c r="O54" i="12" s="1"/>
  <c r="O11" i="11"/>
  <c r="O12" i="11" s="1"/>
  <c r="O23" i="10"/>
  <c r="O24" i="10" s="1"/>
  <c r="AE2" i="40"/>
  <c r="AE2" i="37"/>
  <c r="AE2" i="34"/>
  <c r="AE2" i="31"/>
  <c r="AE2" i="28"/>
  <c r="AE2" i="22"/>
  <c r="AE60" i="20"/>
  <c r="AE61" i="20" s="1"/>
  <c r="AE67" i="20" s="1"/>
  <c r="AE2" i="21"/>
  <c r="AE2" i="20"/>
  <c r="AE2" i="18"/>
  <c r="AE2" i="19"/>
  <c r="AE2" i="17"/>
  <c r="AE2" i="16"/>
  <c r="AE2" i="15"/>
  <c r="AE2" i="13"/>
  <c r="AE2" i="14"/>
  <c r="AE2" i="11"/>
  <c r="AE2" i="12"/>
  <c r="AE2" i="10"/>
  <c r="AE319" i="6"/>
  <c r="AE321" i="6" s="1"/>
  <c r="AE313" i="6"/>
  <c r="AF314" i="6" s="1"/>
  <c r="AE241" i="6"/>
  <c r="AE243" i="6" s="1"/>
  <c r="AE20" i="16" s="1"/>
  <c r="AE182" i="6"/>
  <c r="AE184" i="6" s="1"/>
  <c r="AE189" i="6" s="1"/>
  <c r="AE190" i="6" s="1"/>
  <c r="AE194" i="6" s="1"/>
  <c r="AE2" i="9"/>
  <c r="AE176" i="6"/>
  <c r="AE177" i="6" s="1"/>
  <c r="AE282" i="6"/>
  <c r="AE284" i="6" s="1"/>
  <c r="AE276" i="6" s="1"/>
  <c r="AE277" i="6" s="1"/>
  <c r="AE270" i="6" s="1"/>
  <c r="AE249" i="6"/>
  <c r="AE251" i="6" s="1"/>
  <c r="AE21" i="18" s="1"/>
  <c r="AE2" i="7"/>
  <c r="AE233" i="6"/>
  <c r="AE235" i="6" s="1"/>
  <c r="AE21" i="17" s="1"/>
  <c r="AE209" i="6"/>
  <c r="AE72" i="6"/>
  <c r="AE2" i="8"/>
  <c r="AE120" i="6"/>
  <c r="AE122" i="6" s="1"/>
  <c r="AE127" i="6" s="1"/>
  <c r="AE128" i="6" s="1"/>
  <c r="AE132" i="6" s="1"/>
  <c r="AE32" i="6"/>
  <c r="AE114" i="6"/>
  <c r="AE115" i="6" s="1"/>
  <c r="AE92" i="6"/>
  <c r="AE52" i="6"/>
  <c r="AE147" i="6"/>
  <c r="AE2" i="6"/>
  <c r="AG101" i="6" l="1"/>
  <c r="AG107" i="6"/>
  <c r="AG94" i="6"/>
  <c r="O16" i="37"/>
  <c r="O63" i="12"/>
  <c r="O65" i="12" s="1"/>
  <c r="O71" i="12"/>
  <c r="O73" i="12" s="1"/>
  <c r="T25" i="12"/>
  <c r="T50" i="12"/>
  <c r="N33" i="18"/>
  <c r="N46" i="18"/>
  <c r="N47" i="18" s="1"/>
  <c r="N42" i="18"/>
  <c r="AF2" i="40"/>
  <c r="AF2" i="37"/>
  <c r="AF2" i="34"/>
  <c r="AF2" i="31"/>
  <c r="AF2" i="28"/>
  <c r="AF2" i="22"/>
  <c r="AF2" i="21"/>
  <c r="AF60" i="20"/>
  <c r="AF61" i="20" s="1"/>
  <c r="AF67" i="20" s="1"/>
  <c r="AF2" i="20"/>
  <c r="AF2" i="18"/>
  <c r="AF2" i="19"/>
  <c r="AF2" i="17"/>
  <c r="AF2" i="16"/>
  <c r="AF2" i="15"/>
  <c r="AF2" i="13"/>
  <c r="AF2" i="14"/>
  <c r="AF2" i="11"/>
  <c r="AF2" i="12"/>
  <c r="AF2" i="10"/>
  <c r="AF2" i="9"/>
  <c r="AF241" i="6"/>
  <c r="AF243" i="6" s="1"/>
  <c r="AF20" i="16" s="1"/>
  <c r="AF176" i="6"/>
  <c r="AF177" i="6" s="1"/>
  <c r="AF282" i="6"/>
  <c r="AF284" i="6" s="1"/>
  <c r="AF276" i="6" s="1"/>
  <c r="AF277" i="6" s="1"/>
  <c r="AF270" i="6" s="1"/>
  <c r="AF249" i="6"/>
  <c r="AF251" i="6" s="1"/>
  <c r="AF21" i="18" s="1"/>
  <c r="AF2" i="7"/>
  <c r="AF233" i="6"/>
  <c r="AF235" i="6" s="1"/>
  <c r="AF21" i="17" s="1"/>
  <c r="AF2" i="8"/>
  <c r="AF209" i="6"/>
  <c r="AF120" i="6"/>
  <c r="AF122" i="6" s="1"/>
  <c r="AF127" i="6" s="1"/>
  <c r="AF128" i="6" s="1"/>
  <c r="AF132" i="6" s="1"/>
  <c r="AF32" i="6"/>
  <c r="AF114" i="6"/>
  <c r="AF115" i="6" s="1"/>
  <c r="AF92" i="6"/>
  <c r="AF313" i="6"/>
  <c r="AF319" i="6"/>
  <c r="AF321" i="6" s="1"/>
  <c r="AF182" i="6"/>
  <c r="AF184" i="6" s="1"/>
  <c r="AF189" i="6" s="1"/>
  <c r="AF190" i="6" s="1"/>
  <c r="AF194" i="6" s="1"/>
  <c r="AF147" i="6"/>
  <c r="AF72" i="6"/>
  <c r="AF2" i="6"/>
  <c r="AF52" i="6"/>
  <c r="AE8" i="37"/>
  <c r="AE16" i="12"/>
  <c r="AE41" i="10"/>
  <c r="AE43" i="10" s="1"/>
  <c r="AE25" i="14" s="1"/>
  <c r="AE26" i="14" s="1"/>
  <c r="AE34" i="10"/>
  <c r="AE21" i="10"/>
  <c r="AF18" i="37"/>
  <c r="AF22" i="13"/>
  <c r="AF30" i="13"/>
  <c r="AF84" i="12"/>
  <c r="AF62" i="12"/>
  <c r="S29" i="13"/>
  <c r="S14" i="13"/>
  <c r="S13" i="28" s="1"/>
  <c r="N29" i="18"/>
  <c r="N14" i="18"/>
  <c r="AH4" i="40"/>
  <c r="AH4" i="37"/>
  <c r="AH4" i="34"/>
  <c r="AH4" i="31"/>
  <c r="AH4" i="28"/>
  <c r="AH10" i="21"/>
  <c r="AH4" i="21"/>
  <c r="AH4" i="22"/>
  <c r="AH32" i="20"/>
  <c r="AH74" i="20"/>
  <c r="AH4" i="20"/>
  <c r="AH10" i="18"/>
  <c r="AH4" i="19"/>
  <c r="AH4" i="18"/>
  <c r="AH28" i="19"/>
  <c r="AH4" i="17"/>
  <c r="AH10" i="17"/>
  <c r="AH4" i="16"/>
  <c r="AH10" i="16"/>
  <c r="AH40" i="15"/>
  <c r="AH27" i="15"/>
  <c r="AH27" i="13"/>
  <c r="AH82" i="12"/>
  <c r="AH4" i="14"/>
  <c r="AH69" i="12"/>
  <c r="AH4" i="13"/>
  <c r="AH59" i="12"/>
  <c r="AH4" i="15"/>
  <c r="AH18" i="12"/>
  <c r="AH19" i="13"/>
  <c r="AH46" i="12"/>
  <c r="AH23" i="11"/>
  <c r="AH4" i="11"/>
  <c r="AH19" i="10"/>
  <c r="AH4" i="12"/>
  <c r="AH12" i="10"/>
  <c r="AH4" i="10"/>
  <c r="AH346" i="6"/>
  <c r="AH347" i="6" s="1"/>
  <c r="AH296" i="6"/>
  <c r="AH297" i="6" s="1"/>
  <c r="AH10" i="9"/>
  <c r="AH259" i="6"/>
  <c r="AH35" i="9"/>
  <c r="AH336" i="6"/>
  <c r="AH337" i="6" s="1"/>
  <c r="AH275" i="6"/>
  <c r="AH4" i="8"/>
  <c r="AH351" i="6"/>
  <c r="AH352" i="6" s="1"/>
  <c r="AH301" i="6"/>
  <c r="AH302" i="6" s="1"/>
  <c r="AH4" i="7"/>
  <c r="AH320" i="6"/>
  <c r="AH4" i="9"/>
  <c r="AH312" i="6"/>
  <c r="AH126" i="6"/>
  <c r="AH100" i="6"/>
  <c r="AH46" i="6"/>
  <c r="AH106" i="6"/>
  <c r="AH53" i="6"/>
  <c r="AH23" i="6"/>
  <c r="AH24" i="6" s="1"/>
  <c r="AH3" i="4" s="1"/>
  <c r="AH60" i="6"/>
  <c r="AH66" i="6"/>
  <c r="AH331" i="6"/>
  <c r="AH332" i="6" s="1"/>
  <c r="AH73" i="6"/>
  <c r="AH202" i="6"/>
  <c r="AH80" i="6"/>
  <c r="AH188" i="6"/>
  <c r="AH140" i="6"/>
  <c r="AH86" i="6"/>
  <c r="AH33" i="6"/>
  <c r="AI28" i="6"/>
  <c r="AI4" i="4" s="1"/>
  <c r="AH40" i="6"/>
  <c r="AH4" i="6"/>
  <c r="AH93" i="6"/>
  <c r="AH11" i="6"/>
  <c r="AH12" i="6" s="1"/>
  <c r="AH35" i="10"/>
  <c r="AG74" i="6"/>
  <c r="AG81" i="6"/>
  <c r="AG87" i="6"/>
  <c r="S31" i="13"/>
  <c r="O16" i="19"/>
  <c r="O17" i="19" s="1"/>
  <c r="O42" i="15"/>
  <c r="O20" i="15"/>
  <c r="O25" i="11"/>
  <c r="N34" i="17"/>
  <c r="N35" i="17" s="1"/>
  <c r="N48" i="17"/>
  <c r="AD19" i="37"/>
  <c r="AE83" i="12"/>
  <c r="AE85" i="12" s="1"/>
  <c r="N16" i="28"/>
  <c r="AF26" i="31"/>
  <c r="AG11" i="21"/>
  <c r="AF29" i="9"/>
  <c r="AG3" i="40"/>
  <c r="AG3" i="37"/>
  <c r="AG3" i="34"/>
  <c r="AG3" i="31"/>
  <c r="AG3" i="28"/>
  <c r="AG3" i="21"/>
  <c r="AG3" i="22"/>
  <c r="AG3" i="20"/>
  <c r="AG3" i="19"/>
  <c r="AG3" i="18"/>
  <c r="AG3" i="17"/>
  <c r="AG3" i="16"/>
  <c r="AG3" i="15"/>
  <c r="AG3" i="14"/>
  <c r="AG3" i="13"/>
  <c r="AG3" i="10"/>
  <c r="AG3" i="8"/>
  <c r="AG3" i="11"/>
  <c r="AG3" i="7"/>
  <c r="AG3" i="12"/>
  <c r="AG3" i="9"/>
  <c r="AG39" i="6"/>
  <c r="AG99" i="6"/>
  <c r="AG59" i="6"/>
  <c r="AG3" i="6"/>
  <c r="AG79" i="6"/>
  <c r="AE54" i="6"/>
  <c r="AE61" i="6"/>
  <c r="AE67" i="6"/>
  <c r="AE162" i="6"/>
  <c r="AE141" i="6"/>
  <c r="T8" i="31"/>
  <c r="U20" i="13"/>
  <c r="AG9" i="37"/>
  <c r="AG22" i="10"/>
  <c r="AG42" i="10"/>
  <c r="AG17" i="12"/>
  <c r="AG13" i="21"/>
  <c r="N41" i="16"/>
  <c r="N45" i="16"/>
  <c r="N46" i="16" s="1"/>
  <c r="N32" i="16"/>
  <c r="P14" i="16"/>
  <c r="P28" i="16"/>
  <c r="AG59" i="20"/>
  <c r="AG53" i="20"/>
  <c r="AG54" i="20" s="1"/>
  <c r="AG58" i="20" s="1"/>
  <c r="AG283" i="6"/>
  <c r="AG250" i="6"/>
  <c r="AG234" i="6"/>
  <c r="AG242" i="6"/>
  <c r="AG183" i="6"/>
  <c r="AG290" i="6"/>
  <c r="AG291" i="6" s="1"/>
  <c r="AG121" i="6"/>
  <c r="AG18" i="6"/>
  <c r="AG19" i="6" s="1"/>
  <c r="AG2" i="4" s="1"/>
  <c r="AE224" i="6"/>
  <c r="AE203" i="6"/>
  <c r="O10" i="37"/>
  <c r="O24" i="12"/>
  <c r="O26" i="12" s="1"/>
  <c r="O31" i="12" s="1"/>
  <c r="P20" i="10"/>
  <c r="AF40" i="12"/>
  <c r="AF32" i="12"/>
  <c r="AF13" i="10"/>
  <c r="AF14" i="10" s="1"/>
  <c r="AG314" i="6"/>
  <c r="AG47" i="6"/>
  <c r="AG34" i="6"/>
  <c r="AG41" i="6"/>
  <c r="AG14" i="37"/>
  <c r="AG72" i="12"/>
  <c r="AG64" i="12"/>
  <c r="AG76" i="12"/>
  <c r="AG77" i="12" s="1"/>
  <c r="AD49" i="15"/>
  <c r="AD34" i="15"/>
  <c r="AD27" i="14"/>
  <c r="AD9" i="28" s="1"/>
  <c r="AD12" i="14"/>
  <c r="P28" i="10" l="1"/>
  <c r="AG26" i="31"/>
  <c r="AH11" i="21"/>
  <c r="AG29" i="9"/>
  <c r="N23" i="34"/>
  <c r="S32" i="13"/>
  <c r="S9" i="31" s="1"/>
  <c r="T28" i="13"/>
  <c r="N22" i="34"/>
  <c r="P20" i="34"/>
  <c r="AH41" i="6"/>
  <c r="AH34" i="6"/>
  <c r="AH47" i="6"/>
  <c r="AF162" i="6"/>
  <c r="AF141" i="6"/>
  <c r="AH107" i="6"/>
  <c r="AH94" i="6"/>
  <c r="AH101" i="6"/>
  <c r="AF224" i="6"/>
  <c r="AF203" i="6"/>
  <c r="O17" i="37"/>
  <c r="P70" i="12"/>
  <c r="O17" i="11"/>
  <c r="O18" i="11" s="1"/>
  <c r="N13" i="17"/>
  <c r="N15" i="17" s="1"/>
  <c r="AE19" i="37"/>
  <c r="AF83" i="12"/>
  <c r="AF85" i="12" s="1"/>
  <c r="AI4" i="40"/>
  <c r="AI4" i="37"/>
  <c r="AI4" i="34"/>
  <c r="AI4" i="31"/>
  <c r="AI4" i="28"/>
  <c r="AI74" i="20"/>
  <c r="AI4" i="21"/>
  <c r="AI4" i="22"/>
  <c r="AI10" i="21"/>
  <c r="AI32" i="20"/>
  <c r="AI10" i="18"/>
  <c r="AI4" i="19"/>
  <c r="AI28" i="19"/>
  <c r="AI4" i="18"/>
  <c r="AI4" i="20"/>
  <c r="AI4" i="17"/>
  <c r="AI10" i="17"/>
  <c r="AI4" i="16"/>
  <c r="AI10" i="16"/>
  <c r="AI40" i="15"/>
  <c r="AI4" i="15"/>
  <c r="AI27" i="15"/>
  <c r="AI4" i="14"/>
  <c r="AI4" i="13"/>
  <c r="AI59" i="12"/>
  <c r="AI27" i="13"/>
  <c r="AI18" i="12"/>
  <c r="AI69" i="12"/>
  <c r="AI46" i="12"/>
  <c r="AI82" i="12"/>
  <c r="AI4" i="11"/>
  <c r="AI19" i="10"/>
  <c r="AI4" i="12"/>
  <c r="AI12" i="10"/>
  <c r="AI4" i="10"/>
  <c r="AI19" i="13"/>
  <c r="AI10" i="9"/>
  <c r="AI259" i="6"/>
  <c r="AI23" i="11"/>
  <c r="AI35" i="9"/>
  <c r="AI336" i="6"/>
  <c r="AI337" i="6" s="1"/>
  <c r="AI275" i="6"/>
  <c r="AI4" i="8"/>
  <c r="AI351" i="6"/>
  <c r="AI352" i="6" s="1"/>
  <c r="AI301" i="6"/>
  <c r="AI302" i="6" s="1"/>
  <c r="AI4" i="7"/>
  <c r="AI320" i="6"/>
  <c r="AI4" i="9"/>
  <c r="AI312" i="6"/>
  <c r="AI331" i="6"/>
  <c r="AI332" i="6" s="1"/>
  <c r="AI188" i="6"/>
  <c r="AI346" i="6"/>
  <c r="AI347" i="6" s="1"/>
  <c r="AI106" i="6"/>
  <c r="AI53" i="6"/>
  <c r="AI60" i="6"/>
  <c r="AI66" i="6"/>
  <c r="AI73" i="6"/>
  <c r="AI202" i="6"/>
  <c r="AI80" i="6"/>
  <c r="AI296" i="6"/>
  <c r="AI297" i="6" s="1"/>
  <c r="AI140" i="6"/>
  <c r="AI86" i="6"/>
  <c r="AI93" i="6"/>
  <c r="AI40" i="6"/>
  <c r="AJ28" i="6"/>
  <c r="AJ4" i="4" s="1"/>
  <c r="AI100" i="6"/>
  <c r="AI33" i="6"/>
  <c r="AI126" i="6"/>
  <c r="AI46" i="6"/>
  <c r="AI23" i="6"/>
  <c r="AI24" i="6" s="1"/>
  <c r="AI3" i="4" s="1"/>
  <c r="AI11" i="6"/>
  <c r="AI12" i="6" s="1"/>
  <c r="AI4" i="6"/>
  <c r="AI35" i="10"/>
  <c r="AH14" i="37"/>
  <c r="AH76" i="12"/>
  <c r="AH77" i="12" s="1"/>
  <c r="AH72" i="12"/>
  <c r="AH64" i="12"/>
  <c r="N18" i="28"/>
  <c r="O15" i="37"/>
  <c r="P60" i="12"/>
  <c r="AF8" i="37"/>
  <c r="AF16" i="12"/>
  <c r="AF41" i="10"/>
  <c r="AF43" i="10" s="1"/>
  <c r="AF25" i="14" s="1"/>
  <c r="AF26" i="14" s="1"/>
  <c r="AF34" i="10"/>
  <c r="AF21" i="10"/>
  <c r="AG2" i="40"/>
  <c r="AG2" i="37"/>
  <c r="AG2" i="34"/>
  <c r="AG2" i="31"/>
  <c r="AG2" i="22"/>
  <c r="AG2" i="28"/>
  <c r="AG2" i="21"/>
  <c r="AG60" i="20"/>
  <c r="AG61" i="20" s="1"/>
  <c r="AG67" i="20" s="1"/>
  <c r="AG2" i="20"/>
  <c r="AG2" i="19"/>
  <c r="AG2" i="18"/>
  <c r="AG2" i="16"/>
  <c r="AG2" i="17"/>
  <c r="AG2" i="14"/>
  <c r="AG2" i="15"/>
  <c r="AG2" i="13"/>
  <c r="AG2" i="12"/>
  <c r="AG2" i="11"/>
  <c r="AG2" i="10"/>
  <c r="AG2" i="8"/>
  <c r="AG2" i="9"/>
  <c r="AG282" i="6"/>
  <c r="AG284" i="6" s="1"/>
  <c r="AG276" i="6" s="1"/>
  <c r="AG277" i="6" s="1"/>
  <c r="AG270" i="6" s="1"/>
  <c r="AG249" i="6"/>
  <c r="AG251" i="6" s="1"/>
  <c r="AG21" i="18" s="1"/>
  <c r="AG2" i="7"/>
  <c r="AG233" i="6"/>
  <c r="AG235" i="6" s="1"/>
  <c r="AG21" i="17" s="1"/>
  <c r="AG319" i="6"/>
  <c r="AG321" i="6" s="1"/>
  <c r="AG313" i="6"/>
  <c r="AG241" i="6"/>
  <c r="AG243" i="6" s="1"/>
  <c r="AG20" i="16" s="1"/>
  <c r="AG120" i="6"/>
  <c r="AG122" i="6" s="1"/>
  <c r="AG127" i="6" s="1"/>
  <c r="AG128" i="6" s="1"/>
  <c r="AG132" i="6" s="1"/>
  <c r="AG114" i="6"/>
  <c r="AG115" i="6" s="1"/>
  <c r="AG92" i="6"/>
  <c r="AG52" i="6"/>
  <c r="AG182" i="6"/>
  <c r="AG184" i="6" s="1"/>
  <c r="AG189" i="6" s="1"/>
  <c r="AG190" i="6" s="1"/>
  <c r="AG194" i="6" s="1"/>
  <c r="AG176" i="6"/>
  <c r="AG177" i="6" s="1"/>
  <c r="AG147" i="6"/>
  <c r="AG72" i="6"/>
  <c r="AG32" i="6"/>
  <c r="AG209" i="6"/>
  <c r="AG2" i="6"/>
  <c r="N48" i="18"/>
  <c r="N34" i="18"/>
  <c r="N35" i="18" s="1"/>
  <c r="AG18" i="37"/>
  <c r="AG62" i="12"/>
  <c r="AG22" i="13"/>
  <c r="AG30" i="13"/>
  <c r="AG84" i="12"/>
  <c r="N47" i="16"/>
  <c r="N33" i="16"/>
  <c r="N34" i="16" s="1"/>
  <c r="AH9" i="37"/>
  <c r="AH22" i="10"/>
  <c r="AH42" i="10"/>
  <c r="AH17" i="12"/>
  <c r="AH314" i="6"/>
  <c r="AH74" i="6"/>
  <c r="AH81" i="6"/>
  <c r="AH87" i="6"/>
  <c r="AE49" i="15"/>
  <c r="AE12" i="14"/>
  <c r="AE34" i="15"/>
  <c r="AE27" i="14"/>
  <c r="AE9" i="28" s="1"/>
  <c r="AG40" i="12"/>
  <c r="AG32" i="12"/>
  <c r="AG13" i="10"/>
  <c r="AG14" i="10" s="1"/>
  <c r="N17" i="28"/>
  <c r="O45" i="15"/>
  <c r="AH13" i="21"/>
  <c r="AF54" i="6"/>
  <c r="AF61" i="6"/>
  <c r="AF67" i="6"/>
  <c r="T12" i="37"/>
  <c r="T12" i="13"/>
  <c r="T13" i="13" s="1"/>
  <c r="U47" i="12"/>
  <c r="U11" i="13"/>
  <c r="U23" i="13"/>
  <c r="O21" i="19"/>
  <c r="O43" i="15"/>
  <c r="O21" i="15"/>
  <c r="Q22" i="15" s="1"/>
  <c r="AH53" i="20"/>
  <c r="AH54" i="20" s="1"/>
  <c r="AH58" i="20" s="1"/>
  <c r="AH59" i="20"/>
  <c r="AH250" i="6"/>
  <c r="AH234" i="6"/>
  <c r="AH242" i="6"/>
  <c r="AH290" i="6"/>
  <c r="AH291" i="6" s="1"/>
  <c r="AH283" i="6"/>
  <c r="AH183" i="6"/>
  <c r="AH121" i="6"/>
  <c r="AH18" i="6"/>
  <c r="AH19" i="6" s="1"/>
  <c r="AH2" i="4" s="1"/>
  <c r="AH3" i="40"/>
  <c r="AH3" i="37"/>
  <c r="AH3" i="34"/>
  <c r="AH3" i="28"/>
  <c r="AH3" i="31"/>
  <c r="AH3" i="21"/>
  <c r="AH3" i="22"/>
  <c r="AH3" i="20"/>
  <c r="AH3" i="18"/>
  <c r="AH3" i="19"/>
  <c r="AH3" i="17"/>
  <c r="AH3" i="16"/>
  <c r="AH3" i="14"/>
  <c r="AH3" i="13"/>
  <c r="AH3" i="15"/>
  <c r="AH3" i="12"/>
  <c r="AH3" i="11"/>
  <c r="AH3" i="8"/>
  <c r="AH3" i="9"/>
  <c r="AH3" i="7"/>
  <c r="AH99" i="6"/>
  <c r="AH59" i="6"/>
  <c r="AH3" i="10"/>
  <c r="AH79" i="6"/>
  <c r="AH39" i="6"/>
  <c r="AH3" i="6"/>
  <c r="N13" i="16" l="1"/>
  <c r="N15" i="16" s="1"/>
  <c r="Q8" i="34"/>
  <c r="Q44" i="15"/>
  <c r="U8" i="31"/>
  <c r="V20" i="13"/>
  <c r="N24" i="34"/>
  <c r="AI47" i="6"/>
  <c r="AI41" i="6"/>
  <c r="AI34" i="6"/>
  <c r="O8" i="28"/>
  <c r="O19" i="16"/>
  <c r="O21" i="16" s="1"/>
  <c r="O26" i="11"/>
  <c r="O27" i="11" s="1"/>
  <c r="O10" i="31"/>
  <c r="P41" i="15"/>
  <c r="N13" i="18"/>
  <c r="N15" i="18" s="1"/>
  <c r="AI94" i="6"/>
  <c r="AI101" i="6"/>
  <c r="AI107" i="6"/>
  <c r="AH2" i="40"/>
  <c r="AH2" i="37"/>
  <c r="AH2" i="34"/>
  <c r="AH2" i="31"/>
  <c r="AH2" i="28"/>
  <c r="AH2" i="22"/>
  <c r="AH60" i="20"/>
  <c r="AH2" i="21"/>
  <c r="AH2" i="20"/>
  <c r="AH2" i="19"/>
  <c r="AH2" i="17"/>
  <c r="AH2" i="18"/>
  <c r="AH2" i="16"/>
  <c r="AH2" i="15"/>
  <c r="AH2" i="14"/>
  <c r="AH2" i="13"/>
  <c r="AH2" i="11"/>
  <c r="AH2" i="10"/>
  <c r="AH2" i="12"/>
  <c r="AH2" i="9"/>
  <c r="AH282" i="6"/>
  <c r="AH284" i="6" s="1"/>
  <c r="AH276" i="6" s="1"/>
  <c r="AH277" i="6" s="1"/>
  <c r="AH270" i="6" s="1"/>
  <c r="AH249" i="6"/>
  <c r="AH251" i="6" s="1"/>
  <c r="AH21" i="18" s="1"/>
  <c r="AH2" i="7"/>
  <c r="AH233" i="6"/>
  <c r="AH235" i="6" s="1"/>
  <c r="AH21" i="17" s="1"/>
  <c r="AH209" i="6"/>
  <c r="AH2" i="8"/>
  <c r="AH319" i="6"/>
  <c r="AH321" i="6" s="1"/>
  <c r="AH313" i="6"/>
  <c r="AI314" i="6" s="1"/>
  <c r="AH241" i="6"/>
  <c r="AH243" i="6" s="1"/>
  <c r="AH20" i="16" s="1"/>
  <c r="AH182" i="6"/>
  <c r="AH184" i="6" s="1"/>
  <c r="AH189" i="6" s="1"/>
  <c r="AH190" i="6" s="1"/>
  <c r="AH194" i="6" s="1"/>
  <c r="AH114" i="6"/>
  <c r="AH115" i="6" s="1"/>
  <c r="AH92" i="6"/>
  <c r="AH52" i="6"/>
  <c r="AH176" i="6"/>
  <c r="AH177" i="6" s="1"/>
  <c r="AH147" i="6"/>
  <c r="AH72" i="6"/>
  <c r="AH2" i="6"/>
  <c r="AH120" i="6"/>
  <c r="AH122" i="6" s="1"/>
  <c r="AH127" i="6" s="1"/>
  <c r="AH128" i="6" s="1"/>
  <c r="AH132" i="6" s="1"/>
  <c r="AH32" i="6"/>
  <c r="N25" i="34"/>
  <c r="AI14" i="37"/>
  <c r="AI76" i="12"/>
  <c r="AI77" i="12" s="1"/>
  <c r="AI64" i="12"/>
  <c r="AI72" i="12"/>
  <c r="AH61" i="20"/>
  <c r="AH67" i="20" s="1"/>
  <c r="AG141" i="6"/>
  <c r="AG162" i="6"/>
  <c r="AI9" i="37"/>
  <c r="AI17" i="12"/>
  <c r="AI22" i="10"/>
  <c r="AI42" i="10"/>
  <c r="AF19" i="37"/>
  <c r="AG83" i="12"/>
  <c r="AG85" i="12" s="1"/>
  <c r="AH26" i="31"/>
  <c r="AI11" i="21"/>
  <c r="AI13" i="21" s="1"/>
  <c r="AH29" i="9"/>
  <c r="AF34" i="15"/>
  <c r="AF27" i="14"/>
  <c r="AF9" i="28" s="1"/>
  <c r="AF49" i="15"/>
  <c r="AF12" i="14"/>
  <c r="P27" i="10"/>
  <c r="P29" i="10" s="1"/>
  <c r="AJ4" i="40"/>
  <c r="AJ4" i="37"/>
  <c r="AJ4" i="34"/>
  <c r="AJ4" i="31"/>
  <c r="AJ4" i="28"/>
  <c r="AJ4" i="22"/>
  <c r="AJ10" i="21"/>
  <c r="AJ74" i="20"/>
  <c r="AJ32" i="20"/>
  <c r="AJ4" i="21"/>
  <c r="AJ4" i="20"/>
  <c r="AJ28" i="19"/>
  <c r="AJ4" i="19"/>
  <c r="AJ4" i="18"/>
  <c r="AJ4" i="17"/>
  <c r="AJ10" i="17"/>
  <c r="AJ10" i="18"/>
  <c r="AJ10" i="16"/>
  <c r="AJ4" i="16"/>
  <c r="AJ40" i="15"/>
  <c r="AJ27" i="15"/>
  <c r="AJ4" i="14"/>
  <c r="AJ4" i="15"/>
  <c r="AJ19" i="13"/>
  <c r="AJ4" i="13"/>
  <c r="AJ59" i="12"/>
  <c r="AJ27" i="13"/>
  <c r="AJ69" i="12"/>
  <c r="AJ82" i="12"/>
  <c r="AJ4" i="12"/>
  <c r="AJ12" i="10"/>
  <c r="AJ4" i="10"/>
  <c r="AJ4" i="9"/>
  <c r="AJ4" i="7"/>
  <c r="AJ35" i="9"/>
  <c r="AJ10" i="9"/>
  <c r="AJ46" i="12"/>
  <c r="AJ23" i="11"/>
  <c r="AJ336" i="6"/>
  <c r="AJ337" i="6" s="1"/>
  <c r="AJ275" i="6"/>
  <c r="AJ4" i="8"/>
  <c r="AJ351" i="6"/>
  <c r="AJ352" i="6" s="1"/>
  <c r="AJ301" i="6"/>
  <c r="AJ302" i="6" s="1"/>
  <c r="AJ320" i="6"/>
  <c r="AJ202" i="6"/>
  <c r="AJ312" i="6"/>
  <c r="AJ4" i="11"/>
  <c r="AJ331" i="6"/>
  <c r="AJ332" i="6" s="1"/>
  <c r="AJ18" i="12"/>
  <c r="AJ19" i="10"/>
  <c r="AJ346" i="6"/>
  <c r="AJ347" i="6" s="1"/>
  <c r="AJ296" i="6"/>
  <c r="AJ297" i="6" s="1"/>
  <c r="AJ60" i="6"/>
  <c r="AJ66" i="6"/>
  <c r="AJ73" i="6"/>
  <c r="AJ80" i="6"/>
  <c r="AJ259" i="6"/>
  <c r="AJ140" i="6"/>
  <c r="AJ86" i="6"/>
  <c r="AJ188" i="6"/>
  <c r="AJ93" i="6"/>
  <c r="AJ126" i="6"/>
  <c r="AJ100" i="6"/>
  <c r="AJ46" i="6"/>
  <c r="AJ106" i="6"/>
  <c r="AJ53" i="6"/>
  <c r="AK28" i="6"/>
  <c r="AK4" i="4" s="1"/>
  <c r="AJ33" i="6"/>
  <c r="AJ40" i="6"/>
  <c r="AJ11" i="6"/>
  <c r="AJ12" i="6" s="1"/>
  <c r="AJ4" i="6"/>
  <c r="AJ23" i="6"/>
  <c r="AJ24" i="6" s="1"/>
  <c r="AJ3" i="4" s="1"/>
  <c r="AJ35" i="10"/>
  <c r="AI74" i="6"/>
  <c r="AI81" i="6"/>
  <c r="AI87" i="6"/>
  <c r="U25" i="12"/>
  <c r="U50" i="12"/>
  <c r="AI59" i="20"/>
  <c r="AI53" i="20"/>
  <c r="AI54" i="20" s="1"/>
  <c r="AI58" i="20" s="1"/>
  <c r="AI234" i="6"/>
  <c r="AI242" i="6"/>
  <c r="AI290" i="6"/>
  <c r="AI291" i="6" s="1"/>
  <c r="AI283" i="6"/>
  <c r="AI121" i="6"/>
  <c r="AI250" i="6"/>
  <c r="AI18" i="6"/>
  <c r="AI19" i="6" s="1"/>
  <c r="AI2" i="4" s="1"/>
  <c r="AI183" i="6"/>
  <c r="AH40" i="12"/>
  <c r="AH32" i="12"/>
  <c r="AH13" i="10"/>
  <c r="AH14" i="10" s="1"/>
  <c r="T29" i="13"/>
  <c r="T31" i="13" s="1"/>
  <c r="T14" i="13"/>
  <c r="T13" i="28" s="1"/>
  <c r="AG8" i="37"/>
  <c r="AG16" i="12"/>
  <c r="AG34" i="10"/>
  <c r="AG21" i="10"/>
  <c r="AG41" i="10"/>
  <c r="AG43" i="10" s="1"/>
  <c r="AG25" i="14" s="1"/>
  <c r="AG26" i="14" s="1"/>
  <c r="AH18" i="37"/>
  <c r="AH62" i="12"/>
  <c r="AH22" i="13"/>
  <c r="AH30" i="13"/>
  <c r="AH84" i="12"/>
  <c r="AI3" i="40"/>
  <c r="AI3" i="37"/>
  <c r="AI3" i="34"/>
  <c r="AI3" i="31"/>
  <c r="AI3" i="28"/>
  <c r="AI3" i="22"/>
  <c r="AI3" i="21"/>
  <c r="AI3" i="20"/>
  <c r="AI3" i="18"/>
  <c r="AI3" i="19"/>
  <c r="AI3" i="17"/>
  <c r="AI3" i="16"/>
  <c r="AI3" i="15"/>
  <c r="AI3" i="14"/>
  <c r="AI3" i="13"/>
  <c r="AI3" i="11"/>
  <c r="AI3" i="12"/>
  <c r="AI3" i="10"/>
  <c r="AI3" i="9"/>
  <c r="AI3" i="7"/>
  <c r="AI99" i="6"/>
  <c r="AI59" i="6"/>
  <c r="AI3" i="8"/>
  <c r="AI79" i="6"/>
  <c r="AI39" i="6"/>
  <c r="AI3" i="6"/>
  <c r="N16" i="31"/>
  <c r="O11" i="17"/>
  <c r="AG224" i="6"/>
  <c r="AG203" i="6"/>
  <c r="AG54" i="6"/>
  <c r="AG61" i="6"/>
  <c r="AG67" i="6"/>
  <c r="U28" i="13" l="1"/>
  <c r="T32" i="13"/>
  <c r="T9" i="31" s="1"/>
  <c r="AI26" i="31"/>
  <c r="AJ11" i="21"/>
  <c r="AI29" i="9"/>
  <c r="U12" i="37"/>
  <c r="U12" i="13"/>
  <c r="U13" i="13" s="1"/>
  <c r="V47" i="12"/>
  <c r="AG19" i="37"/>
  <c r="AH83" i="12"/>
  <c r="AH85" i="12" s="1"/>
  <c r="AI32" i="12"/>
  <c r="AI40" i="12"/>
  <c r="AI13" i="10"/>
  <c r="AI14" i="10" s="1"/>
  <c r="AJ74" i="6"/>
  <c r="AJ81" i="6"/>
  <c r="AJ87" i="6"/>
  <c r="AH141" i="6"/>
  <c r="AH162" i="6"/>
  <c r="AJ59" i="20"/>
  <c r="AJ53" i="20"/>
  <c r="AJ54" i="20" s="1"/>
  <c r="AJ58" i="20" s="1"/>
  <c r="AJ234" i="6"/>
  <c r="AJ242" i="6"/>
  <c r="AJ183" i="6"/>
  <c r="AJ290" i="6"/>
  <c r="AJ291" i="6" s="1"/>
  <c r="AJ283" i="6"/>
  <c r="AJ250" i="6"/>
  <c r="AJ121" i="6"/>
  <c r="AJ18" i="6"/>
  <c r="AJ19" i="6" s="1"/>
  <c r="AJ2" i="4" s="1"/>
  <c r="AG49" i="15"/>
  <c r="AG12" i="14"/>
  <c r="AG34" i="15"/>
  <c r="AG27" i="14"/>
  <c r="AG9" i="28" s="1"/>
  <c r="O40" i="17"/>
  <c r="O41" i="17" s="1"/>
  <c r="O14" i="31"/>
  <c r="P24" i="11"/>
  <c r="AI2" i="40"/>
  <c r="AI2" i="37"/>
  <c r="AI2" i="34"/>
  <c r="AI2" i="31"/>
  <c r="AI2" i="28"/>
  <c r="AI2" i="21"/>
  <c r="AI2" i="22"/>
  <c r="AI60" i="20"/>
  <c r="AI61" i="20" s="1"/>
  <c r="AI67" i="20" s="1"/>
  <c r="AI2" i="20"/>
  <c r="AI2" i="19"/>
  <c r="AI2" i="18"/>
  <c r="AI2" i="16"/>
  <c r="AI2" i="17"/>
  <c r="AI2" i="15"/>
  <c r="AI2" i="14"/>
  <c r="AI2" i="13"/>
  <c r="AI2" i="11"/>
  <c r="AI2" i="10"/>
  <c r="AI2" i="12"/>
  <c r="AI249" i="6"/>
  <c r="AI251" i="6" s="1"/>
  <c r="AI21" i="18" s="1"/>
  <c r="AI2" i="7"/>
  <c r="AI233" i="6"/>
  <c r="AI235" i="6" s="1"/>
  <c r="AI21" i="17" s="1"/>
  <c r="AI209" i="6"/>
  <c r="AI2" i="8"/>
  <c r="AI319" i="6"/>
  <c r="AI321" i="6" s="1"/>
  <c r="AI313" i="6"/>
  <c r="AJ314" i="6" s="1"/>
  <c r="AI241" i="6"/>
  <c r="AI243" i="6" s="1"/>
  <c r="AI20" i="16" s="1"/>
  <c r="AI52" i="6"/>
  <c r="AI182" i="6"/>
  <c r="AI184" i="6" s="1"/>
  <c r="AI189" i="6" s="1"/>
  <c r="AI190" i="6" s="1"/>
  <c r="AI194" i="6" s="1"/>
  <c r="AI176" i="6"/>
  <c r="AI177" i="6" s="1"/>
  <c r="AI147" i="6"/>
  <c r="AI2" i="9"/>
  <c r="AI72" i="6"/>
  <c r="AI282" i="6"/>
  <c r="AI284" i="6" s="1"/>
  <c r="AI276" i="6" s="1"/>
  <c r="AI277" i="6" s="1"/>
  <c r="AI270" i="6" s="1"/>
  <c r="AI120" i="6"/>
  <c r="AI122" i="6" s="1"/>
  <c r="AI127" i="6" s="1"/>
  <c r="AI128" i="6" s="1"/>
  <c r="AI132" i="6" s="1"/>
  <c r="AI32" i="6"/>
  <c r="AI2" i="6"/>
  <c r="AI114" i="6"/>
  <c r="AI115" i="6" s="1"/>
  <c r="AI92" i="6"/>
  <c r="AK4" i="40"/>
  <c r="AK4" i="37"/>
  <c r="AK4" i="34"/>
  <c r="AK4" i="31"/>
  <c r="AK4" i="22"/>
  <c r="AK4" i="28"/>
  <c r="AK4" i="21"/>
  <c r="AK10" i="21"/>
  <c r="AK74" i="20"/>
  <c r="AK4" i="20"/>
  <c r="AK32" i="20"/>
  <c r="AK28" i="19"/>
  <c r="AK4" i="19"/>
  <c r="AK4" i="18"/>
  <c r="AK4" i="17"/>
  <c r="AK10" i="18"/>
  <c r="AK4" i="16"/>
  <c r="AK10" i="17"/>
  <c r="AK40" i="15"/>
  <c r="AK10" i="16"/>
  <c r="AK4" i="15"/>
  <c r="AK27" i="15"/>
  <c r="AK4" i="14"/>
  <c r="AK27" i="13"/>
  <c r="AK82" i="12"/>
  <c r="AK69" i="12"/>
  <c r="AK19" i="13"/>
  <c r="AK46" i="12"/>
  <c r="AK4" i="13"/>
  <c r="AK59" i="12"/>
  <c r="AK12" i="10"/>
  <c r="AK4" i="10"/>
  <c r="AK35" i="9"/>
  <c r="AK4" i="8"/>
  <c r="AK23" i="11"/>
  <c r="AK18" i="12"/>
  <c r="AK4" i="11"/>
  <c r="AK19" i="10"/>
  <c r="AK351" i="6"/>
  <c r="AK352" i="6" s="1"/>
  <c r="AK301" i="6"/>
  <c r="AK302" i="6" s="1"/>
  <c r="AK320" i="6"/>
  <c r="AK4" i="7"/>
  <c r="AK202" i="6"/>
  <c r="AK312" i="6"/>
  <c r="AK4" i="9"/>
  <c r="AK331" i="6"/>
  <c r="AK332" i="6" s="1"/>
  <c r="AK346" i="6"/>
  <c r="AK347" i="6" s="1"/>
  <c r="AK296" i="6"/>
  <c r="AK297" i="6" s="1"/>
  <c r="AK4" i="12"/>
  <c r="AK259" i="6"/>
  <c r="AK336" i="6"/>
  <c r="AK337" i="6" s="1"/>
  <c r="AK275" i="6"/>
  <c r="AK66" i="6"/>
  <c r="AK73" i="6"/>
  <c r="AK80" i="6"/>
  <c r="AK4" i="6"/>
  <c r="AK140" i="6"/>
  <c r="AK86" i="6"/>
  <c r="AK33" i="6"/>
  <c r="AK10" i="9"/>
  <c r="AK188" i="6"/>
  <c r="AK93" i="6"/>
  <c r="AK126" i="6"/>
  <c r="AK100" i="6"/>
  <c r="AK46" i="6"/>
  <c r="AK106" i="6"/>
  <c r="AK53" i="6"/>
  <c r="AK23" i="6"/>
  <c r="AK24" i="6" s="1"/>
  <c r="AK3" i="4" s="1"/>
  <c r="AL28" i="6"/>
  <c r="AL4" i="4" s="1"/>
  <c r="AK40" i="6"/>
  <c r="AK60" i="6"/>
  <c r="AK11" i="6"/>
  <c r="AK12" i="6" s="1"/>
  <c r="AK35" i="10"/>
  <c r="AJ34" i="6"/>
  <c r="AJ47" i="6"/>
  <c r="AJ41" i="6"/>
  <c r="AJ13" i="21"/>
  <c r="P11" i="11"/>
  <c r="P12" i="11" s="1"/>
  <c r="P23" i="10"/>
  <c r="P24" i="10" s="1"/>
  <c r="P53" i="12"/>
  <c r="P54" i="12" s="1"/>
  <c r="AH54" i="6"/>
  <c r="AH61" i="6"/>
  <c r="AH67" i="6"/>
  <c r="N18" i="31"/>
  <c r="O11" i="18"/>
  <c r="O19" i="34"/>
  <c r="O26" i="16"/>
  <c r="Q27" i="16" s="1"/>
  <c r="O12" i="16"/>
  <c r="V11" i="13"/>
  <c r="AH8" i="37"/>
  <c r="AH16" i="12"/>
  <c r="AH34" i="10"/>
  <c r="AH21" i="10"/>
  <c r="AH41" i="10"/>
  <c r="AH43" i="10" s="1"/>
  <c r="AH25" i="14" s="1"/>
  <c r="AH26" i="14" s="1"/>
  <c r="AJ9" i="37"/>
  <c r="AJ17" i="12"/>
  <c r="AJ22" i="10"/>
  <c r="AJ42" i="10"/>
  <c r="AJ94" i="6"/>
  <c r="AJ101" i="6"/>
  <c r="AJ107" i="6"/>
  <c r="AI18" i="37"/>
  <c r="AI22" i="13"/>
  <c r="AI30" i="13"/>
  <c r="AI84" i="12"/>
  <c r="AI62" i="12"/>
  <c r="AH224" i="6"/>
  <c r="AH203" i="6"/>
  <c r="N17" i="31"/>
  <c r="O11" i="16"/>
  <c r="AJ3" i="40"/>
  <c r="AJ3" i="37"/>
  <c r="AJ3" i="34"/>
  <c r="AJ3" i="31"/>
  <c r="AJ3" i="28"/>
  <c r="AJ3" i="22"/>
  <c r="AJ3" i="21"/>
  <c r="AJ3" i="20"/>
  <c r="AJ3" i="18"/>
  <c r="AJ3" i="19"/>
  <c r="AJ3" i="17"/>
  <c r="AJ3" i="16"/>
  <c r="AJ3" i="15"/>
  <c r="AJ3" i="14"/>
  <c r="AJ3" i="13"/>
  <c r="AJ3" i="11"/>
  <c r="AJ3" i="12"/>
  <c r="AJ3" i="10"/>
  <c r="AJ3" i="9"/>
  <c r="AJ3" i="7"/>
  <c r="AJ3" i="8"/>
  <c r="AJ59" i="6"/>
  <c r="AJ79" i="6"/>
  <c r="AJ39" i="6"/>
  <c r="AJ3" i="6"/>
  <c r="AJ99" i="6"/>
  <c r="AJ14" i="37"/>
  <c r="AJ72" i="12"/>
  <c r="AJ76" i="12"/>
  <c r="AJ77" i="12" s="1"/>
  <c r="AJ64" i="12"/>
  <c r="O39" i="16" l="1"/>
  <c r="O40" i="16" s="1"/>
  <c r="AJ18" i="37"/>
  <c r="AJ30" i="13"/>
  <c r="AJ84" i="12"/>
  <c r="AJ22" i="13"/>
  <c r="AJ62" i="12"/>
  <c r="AK34" i="6"/>
  <c r="AK41" i="6"/>
  <c r="AK47" i="6"/>
  <c r="AJ2" i="40"/>
  <c r="AJ2" i="37"/>
  <c r="AJ2" i="34"/>
  <c r="AJ2" i="31"/>
  <c r="AJ2" i="28"/>
  <c r="AJ2" i="22"/>
  <c r="AJ60" i="20"/>
  <c r="AJ61" i="20" s="1"/>
  <c r="AJ67" i="20" s="1"/>
  <c r="AJ2" i="21"/>
  <c r="AJ2" i="19"/>
  <c r="AJ2" i="18"/>
  <c r="AJ2" i="17"/>
  <c r="AJ2" i="20"/>
  <c r="AJ2" i="16"/>
  <c r="AJ2" i="14"/>
  <c r="AJ2" i="15"/>
  <c r="AJ2" i="13"/>
  <c r="AJ2" i="10"/>
  <c r="AJ2" i="9"/>
  <c r="AJ2" i="12"/>
  <c r="AJ2" i="7"/>
  <c r="AJ233" i="6"/>
  <c r="AJ235" i="6" s="1"/>
  <c r="AJ21" i="17" s="1"/>
  <c r="AJ209" i="6"/>
  <c r="AJ2" i="8"/>
  <c r="AJ319" i="6"/>
  <c r="AJ321" i="6" s="1"/>
  <c r="AJ313" i="6"/>
  <c r="AJ2" i="11"/>
  <c r="AJ241" i="6"/>
  <c r="AJ243" i="6" s="1"/>
  <c r="AJ20" i="16" s="1"/>
  <c r="AJ282" i="6"/>
  <c r="AJ284" i="6" s="1"/>
  <c r="AJ276" i="6" s="1"/>
  <c r="AJ277" i="6" s="1"/>
  <c r="AJ270" i="6" s="1"/>
  <c r="AJ52" i="6"/>
  <c r="AJ182" i="6"/>
  <c r="AJ184" i="6" s="1"/>
  <c r="AJ189" i="6" s="1"/>
  <c r="AJ190" i="6" s="1"/>
  <c r="AJ194" i="6" s="1"/>
  <c r="AJ176" i="6"/>
  <c r="AJ177" i="6" s="1"/>
  <c r="AJ147" i="6"/>
  <c r="AJ249" i="6"/>
  <c r="AJ251" i="6" s="1"/>
  <c r="AJ21" i="18" s="1"/>
  <c r="AJ72" i="6"/>
  <c r="AJ120" i="6"/>
  <c r="AJ122" i="6" s="1"/>
  <c r="AJ127" i="6" s="1"/>
  <c r="AJ128" i="6" s="1"/>
  <c r="AJ132" i="6" s="1"/>
  <c r="AJ114" i="6"/>
  <c r="AJ115" i="6" s="1"/>
  <c r="AJ92" i="6"/>
  <c r="AJ2" i="6"/>
  <c r="AJ32" i="6"/>
  <c r="AK94" i="6"/>
  <c r="AK101" i="6"/>
  <c r="AK107" i="6"/>
  <c r="AI8" i="37"/>
  <c r="AI34" i="10"/>
  <c r="AI21" i="10"/>
  <c r="AI41" i="10"/>
  <c r="AI43" i="10" s="1"/>
  <c r="AI25" i="14" s="1"/>
  <c r="AI26" i="14" s="1"/>
  <c r="AI16" i="12"/>
  <c r="AK59" i="20"/>
  <c r="AK53" i="20"/>
  <c r="AK54" i="20" s="1"/>
  <c r="AK58" i="20" s="1"/>
  <c r="AK242" i="6"/>
  <c r="AK183" i="6"/>
  <c r="AK290" i="6"/>
  <c r="AK291" i="6" s="1"/>
  <c r="AK283" i="6"/>
  <c r="AK250" i="6"/>
  <c r="AK121" i="6"/>
  <c r="AK234" i="6"/>
  <c r="AK18" i="6"/>
  <c r="AK19" i="6" s="1"/>
  <c r="AK2" i="4" s="1"/>
  <c r="Q28" i="16"/>
  <c r="Q20" i="34" s="1"/>
  <c r="Q14" i="16"/>
  <c r="P16" i="37"/>
  <c r="P63" i="12"/>
  <c r="P65" i="12" s="1"/>
  <c r="P71" i="12"/>
  <c r="P73" i="12" s="1"/>
  <c r="P10" i="37"/>
  <c r="P24" i="12"/>
  <c r="P26" i="12" s="1"/>
  <c r="P31" i="12" s="1"/>
  <c r="Q20" i="10"/>
  <c r="AL4" i="40"/>
  <c r="AL4" i="37"/>
  <c r="AL4" i="34"/>
  <c r="AL4" i="28"/>
  <c r="AL4" i="31"/>
  <c r="AL4" i="21"/>
  <c r="AL4" i="22"/>
  <c r="AL10" i="21"/>
  <c r="AL74" i="20"/>
  <c r="AL32" i="20"/>
  <c r="AL28" i="19"/>
  <c r="AL4" i="20"/>
  <c r="AL4" i="18"/>
  <c r="AL4" i="19"/>
  <c r="AL10" i="18"/>
  <c r="AL10" i="17"/>
  <c r="AL40" i="15"/>
  <c r="AL27" i="15"/>
  <c r="AL10" i="16"/>
  <c r="AL4" i="17"/>
  <c r="AL4" i="14"/>
  <c r="AL69" i="12"/>
  <c r="AL19" i="13"/>
  <c r="AL4" i="13"/>
  <c r="AL4" i="15"/>
  <c r="AL27" i="13"/>
  <c r="AL4" i="16"/>
  <c r="AL4" i="12"/>
  <c r="AL46" i="12"/>
  <c r="AL59" i="12"/>
  <c r="AL18" i="12"/>
  <c r="AL23" i="11"/>
  <c r="AL82" i="12"/>
  <c r="AL4" i="11"/>
  <c r="AL19" i="10"/>
  <c r="AL35" i="9"/>
  <c r="AL4" i="8"/>
  <c r="AL320" i="6"/>
  <c r="AL4" i="7"/>
  <c r="AL202" i="6"/>
  <c r="AL312" i="6"/>
  <c r="AL4" i="9"/>
  <c r="AL331" i="6"/>
  <c r="AL332" i="6" s="1"/>
  <c r="AL188" i="6"/>
  <c r="AL346" i="6"/>
  <c r="AL347" i="6" s="1"/>
  <c r="AL296" i="6"/>
  <c r="AL297" i="6" s="1"/>
  <c r="AL259" i="6"/>
  <c r="AL10" i="9"/>
  <c r="AL336" i="6"/>
  <c r="AL337" i="6" s="1"/>
  <c r="AL275" i="6"/>
  <c r="AL73" i="6"/>
  <c r="AL301" i="6"/>
  <c r="AL302" i="6" s="1"/>
  <c r="AL80" i="6"/>
  <c r="AL4" i="6"/>
  <c r="AL140" i="6"/>
  <c r="AL86" i="6"/>
  <c r="AL33" i="6"/>
  <c r="AL11" i="6"/>
  <c r="AL12" i="6" s="1"/>
  <c r="AL12" i="10"/>
  <c r="AL93" i="6"/>
  <c r="AL40" i="6"/>
  <c r="AM28" i="6"/>
  <c r="AM4" i="4" s="1"/>
  <c r="AL351" i="6"/>
  <c r="AL352" i="6" s="1"/>
  <c r="AL126" i="6"/>
  <c r="AL100" i="6"/>
  <c r="AL4" i="10"/>
  <c r="AL106" i="6"/>
  <c r="AL53" i="6"/>
  <c r="AL60" i="6"/>
  <c r="AL66" i="6"/>
  <c r="AL46" i="6"/>
  <c r="AL23" i="6"/>
  <c r="AL24" i="6" s="1"/>
  <c r="AL3" i="4" s="1"/>
  <c r="AL35" i="10"/>
  <c r="AI61" i="6"/>
  <c r="AI67" i="6"/>
  <c r="AI54" i="6"/>
  <c r="O33" i="17"/>
  <c r="O42" i="17"/>
  <c r="O46" i="17"/>
  <c r="O47" i="17" s="1"/>
  <c r="AH19" i="37"/>
  <c r="AI83" i="12"/>
  <c r="AI85" i="12" s="1"/>
  <c r="V25" i="12"/>
  <c r="O40" i="18"/>
  <c r="O41" i="18" s="1"/>
  <c r="O27" i="18"/>
  <c r="O28" i="18" s="1"/>
  <c r="P16" i="19"/>
  <c r="P17" i="19" s="1"/>
  <c r="P42" i="15"/>
  <c r="P20" i="15"/>
  <c r="P25" i="11"/>
  <c r="AK3" i="40"/>
  <c r="AK3" i="37"/>
  <c r="AK3" i="34"/>
  <c r="AK3" i="31"/>
  <c r="AK3" i="28"/>
  <c r="AK3" i="22"/>
  <c r="AK3" i="21"/>
  <c r="AK3" i="20"/>
  <c r="AK3" i="19"/>
  <c r="AK3" i="18"/>
  <c r="AK3" i="16"/>
  <c r="AK3" i="17"/>
  <c r="AK3" i="14"/>
  <c r="AK3" i="15"/>
  <c r="AK3" i="13"/>
  <c r="AK3" i="12"/>
  <c r="AK3" i="11"/>
  <c r="AK3" i="10"/>
  <c r="AK3" i="8"/>
  <c r="AK3" i="9"/>
  <c r="AK3" i="7"/>
  <c r="AK59" i="6"/>
  <c r="AK79" i="6"/>
  <c r="AK99" i="6"/>
  <c r="AK3" i="6"/>
  <c r="AK39" i="6"/>
  <c r="AK314" i="6"/>
  <c r="AK14" i="37"/>
  <c r="AK76" i="12"/>
  <c r="AK77" i="12" s="1"/>
  <c r="AK72" i="12"/>
  <c r="AK64" i="12"/>
  <c r="AJ40" i="12"/>
  <c r="AJ13" i="10"/>
  <c r="AJ14" i="10" s="1"/>
  <c r="AJ32" i="12"/>
  <c r="U29" i="13"/>
  <c r="U31" i="13" s="1"/>
  <c r="U14" i="13"/>
  <c r="U13" i="28" s="1"/>
  <c r="AJ26" i="31"/>
  <c r="AK11" i="21"/>
  <c r="AK13" i="21" s="1"/>
  <c r="AJ29" i="9"/>
  <c r="AK9" i="37"/>
  <c r="AK22" i="10"/>
  <c r="AK42" i="10"/>
  <c r="AK17" i="12"/>
  <c r="AK74" i="6"/>
  <c r="AK81" i="6"/>
  <c r="AK87" i="6"/>
  <c r="AI141" i="6"/>
  <c r="AI162" i="6"/>
  <c r="AH34" i="15"/>
  <c r="AH27" i="14"/>
  <c r="AH9" i="28" s="1"/>
  <c r="AH49" i="15"/>
  <c r="AH12" i="14"/>
  <c r="AI203" i="6"/>
  <c r="AI224" i="6"/>
  <c r="AK26" i="31" l="1"/>
  <c r="AL11" i="21"/>
  <c r="AL13" i="21" s="1"/>
  <c r="AK29" i="9"/>
  <c r="O16" i="28"/>
  <c r="O45" i="16"/>
  <c r="O46" i="16" s="1"/>
  <c r="O41" i="16"/>
  <c r="O17" i="28" s="1"/>
  <c r="O32" i="16"/>
  <c r="AL34" i="6"/>
  <c r="AL41" i="6"/>
  <c r="AL47" i="6"/>
  <c r="P17" i="37"/>
  <c r="Q70" i="12"/>
  <c r="P17" i="11"/>
  <c r="P18" i="11" s="1"/>
  <c r="AI34" i="15"/>
  <c r="AI49" i="15"/>
  <c r="AI12" i="14"/>
  <c r="AI27" i="14"/>
  <c r="AI9" i="28" s="1"/>
  <c r="P21" i="19"/>
  <c r="P43" i="15"/>
  <c r="P45" i="15" s="1"/>
  <c r="P21" i="15"/>
  <c r="R22" i="15" s="1"/>
  <c r="AL9" i="37"/>
  <c r="AL42" i="10"/>
  <c r="AL17" i="12"/>
  <c r="AL22" i="10"/>
  <c r="Q28" i="10"/>
  <c r="P15" i="37"/>
  <c r="Q60" i="12"/>
  <c r="AJ67" i="6"/>
  <c r="AJ54" i="6"/>
  <c r="AJ61" i="6"/>
  <c r="AI19" i="37"/>
  <c r="AJ83" i="12"/>
  <c r="AJ85" i="12" s="1"/>
  <c r="AL53" i="20"/>
  <c r="AL54" i="20" s="1"/>
  <c r="AL58" i="20" s="1"/>
  <c r="AL59" i="20"/>
  <c r="AL242" i="6"/>
  <c r="AL183" i="6"/>
  <c r="AL290" i="6"/>
  <c r="AL291" i="6" s="1"/>
  <c r="AL283" i="6"/>
  <c r="AL250" i="6"/>
  <c r="AL234" i="6"/>
  <c r="AL121" i="6"/>
  <c r="AL18" i="6"/>
  <c r="AL19" i="6" s="1"/>
  <c r="AL2" i="4" s="1"/>
  <c r="AK32" i="12"/>
  <c r="AK40" i="12"/>
  <c r="AK13" i="10"/>
  <c r="AK14" i="10" s="1"/>
  <c r="AJ203" i="6"/>
  <c r="AJ224" i="6"/>
  <c r="O29" i="18"/>
  <c r="O22" i="34" s="1"/>
  <c r="O14" i="18"/>
  <c r="AL81" i="6"/>
  <c r="AL87" i="6"/>
  <c r="AL74" i="6"/>
  <c r="V28" i="13"/>
  <c r="U32" i="13"/>
  <c r="U9" i="31" s="1"/>
  <c r="O33" i="18"/>
  <c r="O46" i="18"/>
  <c r="O47" i="18" s="1"/>
  <c r="O42" i="18"/>
  <c r="AL3" i="40"/>
  <c r="AL3" i="37"/>
  <c r="AL3" i="34"/>
  <c r="AL3" i="31"/>
  <c r="AL3" i="28"/>
  <c r="AL3" i="21"/>
  <c r="AL3" i="22"/>
  <c r="AL3" i="20"/>
  <c r="AL3" i="19"/>
  <c r="AL3" i="17"/>
  <c r="AL3" i="18"/>
  <c r="AL3" i="16"/>
  <c r="AL3" i="14"/>
  <c r="AL3" i="15"/>
  <c r="AL3" i="13"/>
  <c r="AL3" i="11"/>
  <c r="AL3" i="10"/>
  <c r="AL3" i="12"/>
  <c r="AL3" i="9"/>
  <c r="AL3" i="7"/>
  <c r="AL3" i="8"/>
  <c r="AL79" i="6"/>
  <c r="AL99" i="6"/>
  <c r="AL59" i="6"/>
  <c r="AL3" i="6"/>
  <c r="AL39" i="6"/>
  <c r="AL94" i="6"/>
  <c r="AL101" i="6"/>
  <c r="AL107" i="6"/>
  <c r="AL14" i="37"/>
  <c r="AL76" i="12"/>
  <c r="AL77" i="12" s="1"/>
  <c r="AL64" i="12"/>
  <c r="AL72" i="12"/>
  <c r="AK2" i="40"/>
  <c r="AK2" i="37"/>
  <c r="AK2" i="34"/>
  <c r="AK2" i="31"/>
  <c r="AK2" i="28"/>
  <c r="AK2" i="21"/>
  <c r="AK2" i="22"/>
  <c r="AK60" i="20"/>
  <c r="AK2" i="20"/>
  <c r="AK2" i="19"/>
  <c r="AK2" i="18"/>
  <c r="AK2" i="17"/>
  <c r="AK2" i="16"/>
  <c r="AK2" i="15"/>
  <c r="AK2" i="14"/>
  <c r="AK2" i="13"/>
  <c r="AK2" i="10"/>
  <c r="AK2" i="12"/>
  <c r="AK2" i="8"/>
  <c r="AK2" i="11"/>
  <c r="AK2" i="7"/>
  <c r="AK233" i="6"/>
  <c r="AK235" i="6" s="1"/>
  <c r="AK21" i="17" s="1"/>
  <c r="AK319" i="6"/>
  <c r="AK321" i="6" s="1"/>
  <c r="AK313" i="6"/>
  <c r="AL314" i="6" s="1"/>
  <c r="AK241" i="6"/>
  <c r="AK243" i="6" s="1"/>
  <c r="AK20" i="16" s="1"/>
  <c r="AK182" i="6"/>
  <c r="AK184" i="6" s="1"/>
  <c r="AK189" i="6" s="1"/>
  <c r="AK190" i="6" s="1"/>
  <c r="AK194" i="6" s="1"/>
  <c r="AK282" i="6"/>
  <c r="AK284" i="6" s="1"/>
  <c r="AK276" i="6" s="1"/>
  <c r="AK277" i="6" s="1"/>
  <c r="AK270" i="6" s="1"/>
  <c r="AK2" i="9"/>
  <c r="AK249" i="6"/>
  <c r="AK251" i="6" s="1"/>
  <c r="AK21" i="18" s="1"/>
  <c r="AK176" i="6"/>
  <c r="AK177" i="6" s="1"/>
  <c r="AK147" i="6"/>
  <c r="AK72" i="6"/>
  <c r="AK120" i="6"/>
  <c r="AK122" i="6" s="1"/>
  <c r="AK127" i="6" s="1"/>
  <c r="AK128" i="6" s="1"/>
  <c r="AK132" i="6" s="1"/>
  <c r="AK114" i="6"/>
  <c r="AK115" i="6" s="1"/>
  <c r="AK92" i="6"/>
  <c r="AK209" i="6"/>
  <c r="AK2" i="6"/>
  <c r="AK32" i="6"/>
  <c r="AK52" i="6"/>
  <c r="AK61" i="20"/>
  <c r="AK67" i="20" s="1"/>
  <c r="AJ141" i="6"/>
  <c r="AJ162" i="6"/>
  <c r="AJ8" i="37"/>
  <c r="AJ16" i="12"/>
  <c r="AJ34" i="10"/>
  <c r="AJ21" i="10"/>
  <c r="AJ41" i="10"/>
  <c r="AJ43" i="10" s="1"/>
  <c r="AJ25" i="14" s="1"/>
  <c r="AJ26" i="14" s="1"/>
  <c r="AK18" i="37"/>
  <c r="AK30" i="13"/>
  <c r="AK84" i="12"/>
  <c r="AK22" i="13"/>
  <c r="AK62" i="12"/>
  <c r="O48" i="17"/>
  <c r="O23" i="34" s="1"/>
  <c r="O34" i="17"/>
  <c r="O35" i="17" s="1"/>
  <c r="O13" i="17" s="1"/>
  <c r="O15" i="17" s="1"/>
  <c r="AM4" i="40"/>
  <c r="AM4" i="37"/>
  <c r="AM4" i="34"/>
  <c r="AM4" i="31"/>
  <c r="AM4" i="28"/>
  <c r="AM4" i="22"/>
  <c r="AM10" i="21"/>
  <c r="AM4" i="21"/>
  <c r="AM74" i="20"/>
  <c r="AM28" i="19"/>
  <c r="AM4" i="20"/>
  <c r="AM4" i="18"/>
  <c r="AM32" i="20"/>
  <c r="AM4" i="19"/>
  <c r="AM10" i="18"/>
  <c r="AM10" i="17"/>
  <c r="AM40" i="15"/>
  <c r="AM10" i="16"/>
  <c r="AM4" i="17"/>
  <c r="AM4" i="16"/>
  <c r="AM4" i="14"/>
  <c r="AM4" i="15"/>
  <c r="AM69" i="12"/>
  <c r="AM19" i="13"/>
  <c r="AM4" i="13"/>
  <c r="AM27" i="13"/>
  <c r="AM46" i="12"/>
  <c r="AM82" i="12"/>
  <c r="AM18" i="12"/>
  <c r="AM23" i="11"/>
  <c r="AM4" i="11"/>
  <c r="AM19" i="10"/>
  <c r="AM27" i="15"/>
  <c r="AM59" i="12"/>
  <c r="AM4" i="12"/>
  <c r="AM12" i="10"/>
  <c r="AM4" i="10"/>
  <c r="AM4" i="7"/>
  <c r="AM312" i="6"/>
  <c r="AM4" i="9"/>
  <c r="AM331" i="6"/>
  <c r="AM332" i="6" s="1"/>
  <c r="AM188" i="6"/>
  <c r="AM346" i="6"/>
  <c r="AM347" i="6" s="1"/>
  <c r="AM296" i="6"/>
  <c r="AM297" i="6" s="1"/>
  <c r="AM259" i="6"/>
  <c r="AM10" i="9"/>
  <c r="AM336" i="6"/>
  <c r="AM337" i="6" s="1"/>
  <c r="AM275" i="6"/>
  <c r="AM351" i="6"/>
  <c r="AM352" i="6" s="1"/>
  <c r="AM301" i="6"/>
  <c r="AM302" i="6" s="1"/>
  <c r="AM80" i="6"/>
  <c r="AM140" i="6"/>
  <c r="AM86" i="6"/>
  <c r="AM33" i="6"/>
  <c r="AM11" i="6"/>
  <c r="AM12" i="6" s="1"/>
  <c r="AM93" i="6"/>
  <c r="AM40" i="6"/>
  <c r="AN28" i="6"/>
  <c r="AN4" i="4" s="1"/>
  <c r="AM202" i="6"/>
  <c r="AM126" i="6"/>
  <c r="AM100" i="6"/>
  <c r="AM46" i="6"/>
  <c r="AM106" i="6"/>
  <c r="AM53" i="6"/>
  <c r="AM4" i="8"/>
  <c r="AM60" i="6"/>
  <c r="AM35" i="9"/>
  <c r="AM66" i="6"/>
  <c r="AM320" i="6"/>
  <c r="AM23" i="6"/>
  <c r="AM24" i="6" s="1"/>
  <c r="AM3" i="4" s="1"/>
  <c r="AM4" i="6"/>
  <c r="AM73" i="6"/>
  <c r="AM35" i="10"/>
  <c r="R8" i="34" l="1"/>
  <c r="R44" i="15"/>
  <c r="P10" i="31"/>
  <c r="Q41" i="15"/>
  <c r="AL26" i="31"/>
  <c r="AM11" i="21"/>
  <c r="AL29" i="9"/>
  <c r="O16" i="31"/>
  <c r="P11" i="17"/>
  <c r="AM59" i="20"/>
  <c r="AM53" i="20"/>
  <c r="AM54" i="20" s="1"/>
  <c r="AM58" i="20" s="1"/>
  <c r="AM242" i="6"/>
  <c r="AM290" i="6"/>
  <c r="AM291" i="6" s="1"/>
  <c r="AM283" i="6"/>
  <c r="AM250" i="6"/>
  <c r="AM234" i="6"/>
  <c r="AM121" i="6"/>
  <c r="AM18" i="6"/>
  <c r="AM19" i="6" s="1"/>
  <c r="AM2" i="4" s="1"/>
  <c r="AM183" i="6"/>
  <c r="AM87" i="6"/>
  <c r="AM74" i="6"/>
  <c r="AM81" i="6"/>
  <c r="AK203" i="6"/>
  <c r="AK224" i="6"/>
  <c r="O34" i="18"/>
  <c r="O35" i="18" s="1"/>
  <c r="O13" i="18" s="1"/>
  <c r="O15" i="18" s="1"/>
  <c r="O48" i="18"/>
  <c r="O25" i="34" s="1"/>
  <c r="AL40" i="12"/>
  <c r="AL32" i="12"/>
  <c r="AL13" i="10"/>
  <c r="AL14" i="10" s="1"/>
  <c r="O47" i="16"/>
  <c r="O33" i="16"/>
  <c r="O34" i="16" s="1"/>
  <c r="O13" i="16" s="1"/>
  <c r="O15" i="16" s="1"/>
  <c r="AM3" i="40"/>
  <c r="AM3" i="37"/>
  <c r="AM3" i="34"/>
  <c r="AM3" i="31"/>
  <c r="AM3" i="21"/>
  <c r="AM3" i="22"/>
  <c r="AM3" i="28"/>
  <c r="AM3" i="20"/>
  <c r="AM3" i="19"/>
  <c r="AM3" i="18"/>
  <c r="AM3" i="16"/>
  <c r="AM3" i="17"/>
  <c r="AM3" i="15"/>
  <c r="AM3" i="14"/>
  <c r="AM3" i="11"/>
  <c r="AM3" i="10"/>
  <c r="AM3" i="12"/>
  <c r="AM3" i="13"/>
  <c r="AM3" i="7"/>
  <c r="AM3" i="8"/>
  <c r="AM79" i="6"/>
  <c r="AM39" i="6"/>
  <c r="AM99" i="6"/>
  <c r="AM3" i="9"/>
  <c r="AM59" i="6"/>
  <c r="AM3" i="6"/>
  <c r="AM14" i="37"/>
  <c r="AM64" i="12"/>
  <c r="AM72" i="12"/>
  <c r="AM76" i="12"/>
  <c r="AM77" i="12" s="1"/>
  <c r="AL18" i="37"/>
  <c r="AL22" i="13"/>
  <c r="AL30" i="13"/>
  <c r="AL62" i="12"/>
  <c r="AL84" i="12"/>
  <c r="P8" i="28"/>
  <c r="P19" i="16"/>
  <c r="P21" i="16" s="1"/>
  <c r="P26" i="11"/>
  <c r="P27" i="11" s="1"/>
  <c r="AJ49" i="15"/>
  <c r="AJ34" i="15"/>
  <c r="AJ27" i="14"/>
  <c r="AJ9" i="28" s="1"/>
  <c r="AJ12" i="14"/>
  <c r="AL2" i="40"/>
  <c r="AL2" i="37"/>
  <c r="AL2" i="34"/>
  <c r="AL2" i="28"/>
  <c r="AL2" i="31"/>
  <c r="AL2" i="21"/>
  <c r="AL2" i="22"/>
  <c r="AL60" i="20"/>
  <c r="AL2" i="20"/>
  <c r="AL2" i="18"/>
  <c r="AL2" i="19"/>
  <c r="AL2" i="17"/>
  <c r="AL2" i="16"/>
  <c r="AL2" i="14"/>
  <c r="AL2" i="15"/>
  <c r="AL2" i="12"/>
  <c r="AL2" i="13"/>
  <c r="AL2" i="11"/>
  <c r="AL319" i="6"/>
  <c r="AL321" i="6" s="1"/>
  <c r="AL313" i="6"/>
  <c r="AM314" i="6" s="1"/>
  <c r="AL2" i="8"/>
  <c r="AL241" i="6"/>
  <c r="AL243" i="6" s="1"/>
  <c r="AL20" i="16" s="1"/>
  <c r="AL182" i="6"/>
  <c r="AL184" i="6" s="1"/>
  <c r="AL189" i="6" s="1"/>
  <c r="AL190" i="6" s="1"/>
  <c r="AL194" i="6" s="1"/>
  <c r="AL176" i="6"/>
  <c r="AL177" i="6" s="1"/>
  <c r="AL282" i="6"/>
  <c r="AL284" i="6" s="1"/>
  <c r="AL276" i="6" s="1"/>
  <c r="AL277" i="6" s="1"/>
  <c r="AL270" i="6" s="1"/>
  <c r="AL2" i="9"/>
  <c r="AL249" i="6"/>
  <c r="AL251" i="6" s="1"/>
  <c r="AL21" i="18" s="1"/>
  <c r="AL2" i="10"/>
  <c r="AL147" i="6"/>
  <c r="AL72" i="6"/>
  <c r="AL233" i="6"/>
  <c r="AL235" i="6" s="1"/>
  <c r="AL21" i="17" s="1"/>
  <c r="AL120" i="6"/>
  <c r="AL122" i="6" s="1"/>
  <c r="AL127" i="6" s="1"/>
  <c r="AL128" i="6" s="1"/>
  <c r="AL132" i="6" s="1"/>
  <c r="AL32" i="6"/>
  <c r="AL114" i="6"/>
  <c r="AL115" i="6" s="1"/>
  <c r="AL92" i="6"/>
  <c r="AL209" i="6"/>
  <c r="AL52" i="6"/>
  <c r="AL2" i="7"/>
  <c r="AL2" i="6"/>
  <c r="AM9" i="37"/>
  <c r="AM17" i="12"/>
  <c r="AM42" i="10"/>
  <c r="AM22" i="10"/>
  <c r="AM13" i="21"/>
  <c r="AK141" i="6"/>
  <c r="AK162" i="6"/>
  <c r="AK8" i="37"/>
  <c r="AK16" i="12"/>
  <c r="AK21" i="10"/>
  <c r="AK41" i="10"/>
  <c r="AK43" i="10" s="1"/>
  <c r="AK25" i="14" s="1"/>
  <c r="AK26" i="14" s="1"/>
  <c r="AK34" i="10"/>
  <c r="AL61" i="20"/>
  <c r="AL67" i="20" s="1"/>
  <c r="AM41" i="6"/>
  <c r="AM47" i="6"/>
  <c r="AM34" i="6"/>
  <c r="AJ19" i="37"/>
  <c r="AK83" i="12"/>
  <c r="AK85" i="12" s="1"/>
  <c r="AN4" i="40"/>
  <c r="AN4" i="37"/>
  <c r="AN4" i="34"/>
  <c r="AN4" i="31"/>
  <c r="AN4" i="28"/>
  <c r="AN4" i="22"/>
  <c r="AN74" i="20"/>
  <c r="AN4" i="21"/>
  <c r="AN10" i="21"/>
  <c r="AN32" i="20"/>
  <c r="AN28" i="19"/>
  <c r="AN4" i="20"/>
  <c r="AN10" i="18"/>
  <c r="AN4" i="18"/>
  <c r="AN4" i="19"/>
  <c r="AN10" i="17"/>
  <c r="AN4" i="17"/>
  <c r="AN4" i="16"/>
  <c r="AN10" i="16"/>
  <c r="AN4" i="15"/>
  <c r="AN27" i="15"/>
  <c r="AN4" i="14"/>
  <c r="AN19" i="13"/>
  <c r="AN4" i="13"/>
  <c r="AN27" i="13"/>
  <c r="AN82" i="12"/>
  <c r="AN40" i="15"/>
  <c r="AN69" i="12"/>
  <c r="AN46" i="12"/>
  <c r="AN59" i="12"/>
  <c r="AN10" i="9"/>
  <c r="AN23" i="11"/>
  <c r="AN4" i="11"/>
  <c r="AN19" i="10"/>
  <c r="AN18" i="12"/>
  <c r="AN4" i="12"/>
  <c r="AN12" i="10"/>
  <c r="AN4" i="10"/>
  <c r="AN4" i="9"/>
  <c r="AN4" i="7"/>
  <c r="AN312" i="6"/>
  <c r="AN331" i="6"/>
  <c r="AN332" i="6" s="1"/>
  <c r="AN188" i="6"/>
  <c r="AN346" i="6"/>
  <c r="AN347" i="6" s="1"/>
  <c r="AN296" i="6"/>
  <c r="AN297" i="6" s="1"/>
  <c r="AN259" i="6"/>
  <c r="AN336" i="6"/>
  <c r="AN337" i="6" s="1"/>
  <c r="AN275" i="6"/>
  <c r="AN351" i="6"/>
  <c r="AN352" i="6" s="1"/>
  <c r="AN301" i="6"/>
  <c r="AN302" i="6" s="1"/>
  <c r="AN35" i="9"/>
  <c r="AN4" i="8"/>
  <c r="AN320" i="6"/>
  <c r="AN140" i="6"/>
  <c r="AN86" i="6"/>
  <c r="AN93" i="6"/>
  <c r="AN40" i="6"/>
  <c r="AO28" i="6"/>
  <c r="AO4" i="4" s="1"/>
  <c r="AN202" i="6"/>
  <c r="AN126" i="6"/>
  <c r="AN100" i="6"/>
  <c r="AN46" i="6"/>
  <c r="AN106" i="6"/>
  <c r="AN53" i="6"/>
  <c r="AN23" i="6"/>
  <c r="AN24" i="6" s="1"/>
  <c r="AN3" i="4" s="1"/>
  <c r="AN60" i="6"/>
  <c r="AN66" i="6"/>
  <c r="AN73" i="6"/>
  <c r="AN33" i="6"/>
  <c r="AN11" i="6"/>
  <c r="AN12" i="6" s="1"/>
  <c r="AN4" i="6"/>
  <c r="AN80" i="6"/>
  <c r="AN35" i="10"/>
  <c r="AM94" i="6"/>
  <c r="AM101" i="6"/>
  <c r="AM107" i="6"/>
  <c r="AK54" i="6"/>
  <c r="AK61" i="6"/>
  <c r="AK67" i="6"/>
  <c r="O18" i="28"/>
  <c r="Q27" i="10"/>
  <c r="Q29" i="10" s="1"/>
  <c r="O18" i="31" l="1"/>
  <c r="P11" i="18"/>
  <c r="AL54" i="6"/>
  <c r="AL61" i="6"/>
  <c r="AL67" i="6"/>
  <c r="Q53" i="12"/>
  <c r="Q54" i="12" s="1"/>
  <c r="Q11" i="11"/>
  <c r="Q12" i="11" s="1"/>
  <c r="Q23" i="10"/>
  <c r="Q24" i="10" s="1"/>
  <c r="AM26" i="31"/>
  <c r="AN11" i="21"/>
  <c r="AN13" i="21" s="1"/>
  <c r="AM29" i="9"/>
  <c r="AL141" i="6"/>
  <c r="AL162" i="6"/>
  <c r="AN14" i="37"/>
  <c r="AN64" i="12"/>
  <c r="AN72" i="12"/>
  <c r="AN76" i="12"/>
  <c r="AN77" i="12" s="1"/>
  <c r="AK49" i="15"/>
  <c r="AK12" i="14"/>
  <c r="AK34" i="15"/>
  <c r="AK27" i="14"/>
  <c r="AK9" i="28" s="1"/>
  <c r="O24" i="34"/>
  <c r="P40" i="17"/>
  <c r="P41" i="17" s="1"/>
  <c r="AO4" i="40"/>
  <c r="AO4" i="37"/>
  <c r="AO4" i="34"/>
  <c r="AO4" i="31"/>
  <c r="AO4" i="22"/>
  <c r="AO10" i="21"/>
  <c r="AO4" i="28"/>
  <c r="AO4" i="21"/>
  <c r="AO74" i="20"/>
  <c r="AO32" i="20"/>
  <c r="AO4" i="20"/>
  <c r="AO10" i="18"/>
  <c r="AO4" i="19"/>
  <c r="AO10" i="17"/>
  <c r="AO28" i="19"/>
  <c r="AO10" i="16"/>
  <c r="AO4" i="18"/>
  <c r="AO4" i="16"/>
  <c r="AO4" i="17"/>
  <c r="AO4" i="14"/>
  <c r="AO4" i="15"/>
  <c r="AO27" i="15"/>
  <c r="AO40" i="15"/>
  <c r="AO19" i="13"/>
  <c r="AO4" i="13"/>
  <c r="AO27" i="13"/>
  <c r="AO82" i="12"/>
  <c r="AO46" i="12"/>
  <c r="AO59" i="12"/>
  <c r="AO69" i="12"/>
  <c r="AO4" i="12"/>
  <c r="AO23" i="11"/>
  <c r="AO4" i="11"/>
  <c r="AO19" i="10"/>
  <c r="AO18" i="12"/>
  <c r="AO12" i="10"/>
  <c r="AO4" i="10"/>
  <c r="AO35" i="9"/>
  <c r="AO4" i="8"/>
  <c r="AO331" i="6"/>
  <c r="AO332" i="6" s="1"/>
  <c r="AO4" i="9"/>
  <c r="AO346" i="6"/>
  <c r="AO347" i="6" s="1"/>
  <c r="AO296" i="6"/>
  <c r="AO297" i="6" s="1"/>
  <c r="AO259" i="6"/>
  <c r="AO336" i="6"/>
  <c r="AO337" i="6" s="1"/>
  <c r="AO275" i="6"/>
  <c r="AO10" i="9"/>
  <c r="AO351" i="6"/>
  <c r="AO352" i="6" s="1"/>
  <c r="AO301" i="6"/>
  <c r="AO302" i="6" s="1"/>
  <c r="AO320" i="6"/>
  <c r="AO202" i="6"/>
  <c r="AO4" i="7"/>
  <c r="AO93" i="6"/>
  <c r="AO126" i="6"/>
  <c r="AO100" i="6"/>
  <c r="AO46" i="6"/>
  <c r="AO106" i="6"/>
  <c r="AO53" i="6"/>
  <c r="AO23" i="6"/>
  <c r="AO24" i="6" s="1"/>
  <c r="AO3" i="4" s="1"/>
  <c r="AO188" i="6"/>
  <c r="AO60" i="6"/>
  <c r="AO66" i="6"/>
  <c r="AO73" i="6"/>
  <c r="AO312" i="6"/>
  <c r="AO80" i="6"/>
  <c r="AO140" i="6"/>
  <c r="AO33" i="6"/>
  <c r="AO40" i="6"/>
  <c r="AO11" i="6"/>
  <c r="AO12" i="6" s="1"/>
  <c r="AO4" i="6"/>
  <c r="AO86" i="6"/>
  <c r="AP28" i="6"/>
  <c r="AP4" i="4" s="1"/>
  <c r="AO35" i="10"/>
  <c r="AN47" i="6"/>
  <c r="AN34" i="6"/>
  <c r="AN41" i="6"/>
  <c r="AL224" i="6"/>
  <c r="AL203" i="6"/>
  <c r="P14" i="31"/>
  <c r="Q24" i="11"/>
  <c r="P19" i="34"/>
  <c r="P12" i="16"/>
  <c r="P26" i="16"/>
  <c r="R27" i="16" s="1"/>
  <c r="AM40" i="12"/>
  <c r="AM32" i="12"/>
  <c r="AM13" i="10"/>
  <c r="AM14" i="10" s="1"/>
  <c r="AN3" i="40"/>
  <c r="AN3" i="37"/>
  <c r="AN3" i="34"/>
  <c r="AN3" i="31"/>
  <c r="AN3" i="28"/>
  <c r="AN3" i="22"/>
  <c r="AN3" i="20"/>
  <c r="AN3" i="19"/>
  <c r="AN3" i="18"/>
  <c r="AN3" i="21"/>
  <c r="AN3" i="17"/>
  <c r="AN3" i="16"/>
  <c r="AN3" i="14"/>
  <c r="AN3" i="15"/>
  <c r="AN3" i="13"/>
  <c r="AN3" i="10"/>
  <c r="AN3" i="9"/>
  <c r="AN3" i="12"/>
  <c r="AN3" i="7"/>
  <c r="AN3" i="8"/>
  <c r="AN3" i="11"/>
  <c r="AN79" i="6"/>
  <c r="AN39" i="6"/>
  <c r="AN99" i="6"/>
  <c r="AN59" i="6"/>
  <c r="AN3" i="6"/>
  <c r="AN74" i="6"/>
  <c r="AN81" i="6"/>
  <c r="AN87" i="6"/>
  <c r="AL8" i="37"/>
  <c r="AL21" i="10"/>
  <c r="AL41" i="10"/>
  <c r="AL43" i="10" s="1"/>
  <c r="AL25" i="14" s="1"/>
  <c r="AL26" i="14" s="1"/>
  <c r="AL16" i="12"/>
  <c r="AL34" i="10"/>
  <c r="AN9" i="37"/>
  <c r="AN17" i="12"/>
  <c r="AN22" i="10"/>
  <c r="AN42" i="10"/>
  <c r="AN94" i="6"/>
  <c r="AN101" i="6"/>
  <c r="AN107" i="6"/>
  <c r="O17" i="31"/>
  <c r="P11" i="16"/>
  <c r="AN59" i="20"/>
  <c r="AN53" i="20"/>
  <c r="AN54" i="20" s="1"/>
  <c r="AN58" i="20" s="1"/>
  <c r="AN290" i="6"/>
  <c r="AN291" i="6" s="1"/>
  <c r="AN283" i="6"/>
  <c r="AN250" i="6"/>
  <c r="AN234" i="6"/>
  <c r="AN121" i="6"/>
  <c r="AN242" i="6"/>
  <c r="AN183" i="6"/>
  <c r="AN18" i="6"/>
  <c r="AN19" i="6" s="1"/>
  <c r="AN2" i="4" s="1"/>
  <c r="AK19" i="37"/>
  <c r="AL83" i="12"/>
  <c r="AL85" i="12" s="1"/>
  <c r="AM18" i="37"/>
  <c r="AM22" i="13"/>
  <c r="AM30" i="13"/>
  <c r="AM62" i="12"/>
  <c r="AM84" i="12"/>
  <c r="AM2" i="40"/>
  <c r="AM2" i="37"/>
  <c r="AM2" i="34"/>
  <c r="AM2" i="31"/>
  <c r="AM2" i="28"/>
  <c r="AM2" i="22"/>
  <c r="AM60" i="20"/>
  <c r="AM61" i="20" s="1"/>
  <c r="AM67" i="20" s="1"/>
  <c r="AM2" i="21"/>
  <c r="AM2" i="20"/>
  <c r="AM2" i="18"/>
  <c r="AM2" i="19"/>
  <c r="AM2" i="17"/>
  <c r="AM2" i="16"/>
  <c r="AM2" i="15"/>
  <c r="AM2" i="14"/>
  <c r="AM2" i="13"/>
  <c r="AM2" i="12"/>
  <c r="AM2" i="11"/>
  <c r="AM2" i="10"/>
  <c r="AM319" i="6"/>
  <c r="AM321" i="6" s="1"/>
  <c r="AM313" i="6"/>
  <c r="AN314" i="6" s="1"/>
  <c r="AM2" i="8"/>
  <c r="AM241" i="6"/>
  <c r="AM243" i="6" s="1"/>
  <c r="AM20" i="16" s="1"/>
  <c r="AM182" i="6"/>
  <c r="AM184" i="6" s="1"/>
  <c r="AM189" i="6" s="1"/>
  <c r="AM190" i="6" s="1"/>
  <c r="AM194" i="6" s="1"/>
  <c r="AM176" i="6"/>
  <c r="AM177" i="6" s="1"/>
  <c r="AM282" i="6"/>
  <c r="AM284" i="6" s="1"/>
  <c r="AM276" i="6" s="1"/>
  <c r="AM277" i="6" s="1"/>
  <c r="AM270" i="6" s="1"/>
  <c r="AM2" i="9"/>
  <c r="AM249" i="6"/>
  <c r="AM251" i="6" s="1"/>
  <c r="AM21" i="18" s="1"/>
  <c r="AM2" i="7"/>
  <c r="AM233" i="6"/>
  <c r="AM235" i="6" s="1"/>
  <c r="AM21" i="17" s="1"/>
  <c r="AM209" i="6"/>
  <c r="AM72" i="6"/>
  <c r="AM120" i="6"/>
  <c r="AM122" i="6" s="1"/>
  <c r="AM127" i="6" s="1"/>
  <c r="AM128" i="6" s="1"/>
  <c r="AM132" i="6" s="1"/>
  <c r="AM32" i="6"/>
  <c r="AM114" i="6"/>
  <c r="AM115" i="6" s="1"/>
  <c r="AM92" i="6"/>
  <c r="AM52" i="6"/>
  <c r="AM147" i="6"/>
  <c r="AM2" i="6"/>
  <c r="AN26" i="31" l="1"/>
  <c r="AO11" i="21"/>
  <c r="AN29" i="9"/>
  <c r="AL49" i="15"/>
  <c r="AL34" i="15"/>
  <c r="AL27" i="14"/>
  <c r="AL9" i="28" s="1"/>
  <c r="AL12" i="14"/>
  <c r="AO9" i="37"/>
  <c r="AO17" i="12"/>
  <c r="AO22" i="10"/>
  <c r="AO42" i="10"/>
  <c r="AO3" i="40"/>
  <c r="AO3" i="37"/>
  <c r="AO3" i="34"/>
  <c r="AO3" i="31"/>
  <c r="AO3" i="28"/>
  <c r="AO3" i="22"/>
  <c r="AO3" i="21"/>
  <c r="AO3" i="20"/>
  <c r="AO3" i="19"/>
  <c r="AO3" i="18"/>
  <c r="AO3" i="17"/>
  <c r="AO3" i="16"/>
  <c r="AO3" i="15"/>
  <c r="AO3" i="14"/>
  <c r="AO3" i="13"/>
  <c r="AO3" i="10"/>
  <c r="AO3" i="12"/>
  <c r="AO3" i="8"/>
  <c r="AO3" i="11"/>
  <c r="AO3" i="7"/>
  <c r="AO3" i="9"/>
  <c r="AO39" i="6"/>
  <c r="AO99" i="6"/>
  <c r="AO3" i="6"/>
  <c r="AO59" i="6"/>
  <c r="AO79" i="6"/>
  <c r="AO14" i="37"/>
  <c r="AO72" i="12"/>
  <c r="AO64" i="12"/>
  <c r="AO76" i="12"/>
  <c r="AO77" i="12" s="1"/>
  <c r="AM54" i="6"/>
  <c r="AM61" i="6"/>
  <c r="AM67" i="6"/>
  <c r="P39" i="16"/>
  <c r="P40" i="16" s="1"/>
  <c r="AO13" i="21"/>
  <c r="Q10" i="37"/>
  <c r="Q24" i="12"/>
  <c r="Q26" i="12" s="1"/>
  <c r="Q31" i="12" s="1"/>
  <c r="R20" i="10"/>
  <c r="AM162" i="6"/>
  <c r="AM141" i="6"/>
  <c r="R14" i="16"/>
  <c r="R28" i="16"/>
  <c r="R20" i="34" s="1"/>
  <c r="AP4" i="40"/>
  <c r="AP4" i="37"/>
  <c r="AP4" i="34"/>
  <c r="AP4" i="31"/>
  <c r="AP4" i="28"/>
  <c r="AP10" i="21"/>
  <c r="AP4" i="21"/>
  <c r="AP4" i="22"/>
  <c r="AP32" i="20"/>
  <c r="AP74" i="20"/>
  <c r="AP10" i="18"/>
  <c r="AP4" i="19"/>
  <c r="AP4" i="20"/>
  <c r="AP28" i="19"/>
  <c r="AP4" i="17"/>
  <c r="AP4" i="18"/>
  <c r="AP10" i="16"/>
  <c r="AP10" i="17"/>
  <c r="AP27" i="15"/>
  <c r="AP40" i="15"/>
  <c r="AP4" i="16"/>
  <c r="AP4" i="14"/>
  <c r="AP27" i="13"/>
  <c r="AP82" i="12"/>
  <c r="AP4" i="15"/>
  <c r="AP69" i="12"/>
  <c r="AP59" i="12"/>
  <c r="AP19" i="13"/>
  <c r="AP18" i="12"/>
  <c r="AP4" i="13"/>
  <c r="AP46" i="12"/>
  <c r="AP23" i="11"/>
  <c r="AP4" i="11"/>
  <c r="AP19" i="10"/>
  <c r="AP12" i="10"/>
  <c r="AP4" i="10"/>
  <c r="AP4" i="12"/>
  <c r="AP4" i="9"/>
  <c r="AP346" i="6"/>
  <c r="AP347" i="6" s="1"/>
  <c r="AP296" i="6"/>
  <c r="AP297" i="6" s="1"/>
  <c r="AP259" i="6"/>
  <c r="AP336" i="6"/>
  <c r="AP337" i="6" s="1"/>
  <c r="AP275" i="6"/>
  <c r="AP10" i="9"/>
  <c r="AP351" i="6"/>
  <c r="AP352" i="6" s="1"/>
  <c r="AP301" i="6"/>
  <c r="AP302" i="6" s="1"/>
  <c r="AP320" i="6"/>
  <c r="AP35" i="9"/>
  <c r="AP4" i="8"/>
  <c r="AP4" i="7"/>
  <c r="AP312" i="6"/>
  <c r="AP126" i="6"/>
  <c r="AP100" i="6"/>
  <c r="AP46" i="6"/>
  <c r="AP202" i="6"/>
  <c r="AP106" i="6"/>
  <c r="AP53" i="6"/>
  <c r="AP23" i="6"/>
  <c r="AP24" i="6" s="1"/>
  <c r="AP3" i="4" s="1"/>
  <c r="AP188" i="6"/>
  <c r="AP60" i="6"/>
  <c r="AP331" i="6"/>
  <c r="AP332" i="6" s="1"/>
  <c r="AP66" i="6"/>
  <c r="AP73" i="6"/>
  <c r="AP80" i="6"/>
  <c r="AP140" i="6"/>
  <c r="AP86" i="6"/>
  <c r="AP33" i="6"/>
  <c r="AP40" i="6"/>
  <c r="AP11" i="6"/>
  <c r="AP12" i="6" s="1"/>
  <c r="AP4" i="6"/>
  <c r="AP93" i="6"/>
  <c r="AQ28" i="6"/>
  <c r="AQ4" i="4" s="1"/>
  <c r="AP35" i="10"/>
  <c r="AO47" i="6"/>
  <c r="AO34" i="6"/>
  <c r="AO41" i="6"/>
  <c r="P33" i="17"/>
  <c r="P42" i="17"/>
  <c r="P16" i="28" s="1"/>
  <c r="P46" i="17"/>
  <c r="P47" i="17" s="1"/>
  <c r="Q16" i="19"/>
  <c r="Q17" i="19" s="1"/>
  <c r="Q42" i="15"/>
  <c r="Q20" i="15"/>
  <c r="Q25" i="11"/>
  <c r="AO101" i="6"/>
  <c r="AO107" i="6"/>
  <c r="AO94" i="6"/>
  <c r="AN18" i="37"/>
  <c r="AN22" i="13"/>
  <c r="AN30" i="13"/>
  <c r="AN84" i="12"/>
  <c r="AN62" i="12"/>
  <c r="Q16" i="37"/>
  <c r="Q63" i="12"/>
  <c r="Q65" i="12" s="1"/>
  <c r="Q71" i="12"/>
  <c r="Q73" i="12" s="1"/>
  <c r="P27" i="18"/>
  <c r="P28" i="18" s="1"/>
  <c r="P40" i="18"/>
  <c r="P41" i="18" s="1"/>
  <c r="AM224" i="6"/>
  <c r="AM203" i="6"/>
  <c r="AN40" i="12"/>
  <c r="AN32" i="12"/>
  <c r="AN13" i="10"/>
  <c r="AN14" i="10" s="1"/>
  <c r="AL19" i="37"/>
  <c r="AM83" i="12"/>
  <c r="AM85" i="12" s="1"/>
  <c r="AN2" i="40"/>
  <c r="AN2" i="37"/>
  <c r="AN2" i="34"/>
  <c r="AN2" i="31"/>
  <c r="AN2" i="28"/>
  <c r="AN2" i="22"/>
  <c r="AN2" i="21"/>
  <c r="AN60" i="20"/>
  <c r="AN61" i="20" s="1"/>
  <c r="AN67" i="20" s="1"/>
  <c r="AN2" i="20"/>
  <c r="AN2" i="19"/>
  <c r="AN2" i="18"/>
  <c r="AN2" i="17"/>
  <c r="AN2" i="16"/>
  <c r="AN2" i="15"/>
  <c r="AN2" i="13"/>
  <c r="AN2" i="14"/>
  <c r="AN2" i="11"/>
  <c r="AN2" i="10"/>
  <c r="AN2" i="9"/>
  <c r="AN2" i="8"/>
  <c r="AN241" i="6"/>
  <c r="AN243" i="6" s="1"/>
  <c r="AN20" i="16" s="1"/>
  <c r="AN2" i="12"/>
  <c r="AN176" i="6"/>
  <c r="AN177" i="6" s="1"/>
  <c r="AN282" i="6"/>
  <c r="AN284" i="6" s="1"/>
  <c r="AN276" i="6" s="1"/>
  <c r="AN277" i="6" s="1"/>
  <c r="AN270" i="6" s="1"/>
  <c r="AN249" i="6"/>
  <c r="AN251" i="6" s="1"/>
  <c r="AN21" i="18" s="1"/>
  <c r="AN2" i="7"/>
  <c r="AN233" i="6"/>
  <c r="AN235" i="6" s="1"/>
  <c r="AN21" i="17" s="1"/>
  <c r="AN182" i="6"/>
  <c r="AN184" i="6" s="1"/>
  <c r="AN189" i="6" s="1"/>
  <c r="AN190" i="6" s="1"/>
  <c r="AN194" i="6" s="1"/>
  <c r="AN120" i="6"/>
  <c r="AN122" i="6" s="1"/>
  <c r="AN127" i="6" s="1"/>
  <c r="AN128" i="6" s="1"/>
  <c r="AN132" i="6" s="1"/>
  <c r="AN32" i="6"/>
  <c r="AN313" i="6"/>
  <c r="AO314" i="6" s="1"/>
  <c r="AN114" i="6"/>
  <c r="AN115" i="6" s="1"/>
  <c r="AN92" i="6"/>
  <c r="AN319" i="6"/>
  <c r="AN321" i="6" s="1"/>
  <c r="AN209" i="6"/>
  <c r="AN147" i="6"/>
  <c r="AN72" i="6"/>
  <c r="AN52" i="6"/>
  <c r="AN2" i="6"/>
  <c r="AM8" i="37"/>
  <c r="AM41" i="10"/>
  <c r="AM43" i="10" s="1"/>
  <c r="AM25" i="14" s="1"/>
  <c r="AM26" i="14" s="1"/>
  <c r="AM16" i="12"/>
  <c r="AM34" i="10"/>
  <c r="AM21" i="10"/>
  <c r="AO53" i="20"/>
  <c r="AO54" i="20" s="1"/>
  <c r="AO58" i="20" s="1"/>
  <c r="AO59" i="20"/>
  <c r="AO283" i="6"/>
  <c r="AO250" i="6"/>
  <c r="AO234" i="6"/>
  <c r="AO242" i="6"/>
  <c r="AO183" i="6"/>
  <c r="AO290" i="6"/>
  <c r="AO291" i="6" s="1"/>
  <c r="AO121" i="6"/>
  <c r="AO18" i="6"/>
  <c r="AO19" i="6" s="1"/>
  <c r="AO2" i="4" s="1"/>
  <c r="AO74" i="6"/>
  <c r="AO81" i="6"/>
  <c r="AO87" i="6"/>
  <c r="P29" i="18" l="1"/>
  <c r="P14" i="18"/>
  <c r="AQ4" i="40"/>
  <c r="AQ4" i="37"/>
  <c r="AQ4" i="34"/>
  <c r="AQ4" i="31"/>
  <c r="AQ74" i="20"/>
  <c r="AQ4" i="28"/>
  <c r="AQ4" i="21"/>
  <c r="AQ4" i="22"/>
  <c r="AQ10" i="21"/>
  <c r="AQ32" i="20"/>
  <c r="AQ4" i="20"/>
  <c r="AQ10" i="18"/>
  <c r="AQ4" i="19"/>
  <c r="AQ28" i="19"/>
  <c r="AQ4" i="18"/>
  <c r="AQ4" i="16"/>
  <c r="AQ4" i="17"/>
  <c r="AQ10" i="17"/>
  <c r="AQ10" i="16"/>
  <c r="AQ4" i="15"/>
  <c r="AQ27" i="15"/>
  <c r="AQ40" i="15"/>
  <c r="AQ4" i="14"/>
  <c r="AQ27" i="13"/>
  <c r="AQ59" i="12"/>
  <c r="AQ19" i="13"/>
  <c r="AQ18" i="12"/>
  <c r="AQ82" i="12"/>
  <c r="AQ69" i="12"/>
  <c r="AQ46" i="12"/>
  <c r="AQ4" i="11"/>
  <c r="AQ19" i="10"/>
  <c r="AQ12" i="10"/>
  <c r="AQ4" i="10"/>
  <c r="AQ4" i="13"/>
  <c r="AQ4" i="12"/>
  <c r="AQ23" i="11"/>
  <c r="AQ259" i="6"/>
  <c r="AQ336" i="6"/>
  <c r="AQ337" i="6" s="1"/>
  <c r="AQ275" i="6"/>
  <c r="AQ10" i="9"/>
  <c r="AQ351" i="6"/>
  <c r="AQ352" i="6" s="1"/>
  <c r="AQ301" i="6"/>
  <c r="AQ302" i="6" s="1"/>
  <c r="AQ320" i="6"/>
  <c r="AQ35" i="9"/>
  <c r="AQ4" i="8"/>
  <c r="AQ4" i="7"/>
  <c r="AQ312" i="6"/>
  <c r="AQ331" i="6"/>
  <c r="AQ332" i="6" s="1"/>
  <c r="AQ188" i="6"/>
  <c r="AQ4" i="9"/>
  <c r="AQ202" i="6"/>
  <c r="AQ106" i="6"/>
  <c r="AQ53" i="6"/>
  <c r="AQ60" i="6"/>
  <c r="AQ66" i="6"/>
  <c r="AQ73" i="6"/>
  <c r="AQ296" i="6"/>
  <c r="AQ297" i="6" s="1"/>
  <c r="AQ80" i="6"/>
  <c r="AQ140" i="6"/>
  <c r="AQ86" i="6"/>
  <c r="AQ93" i="6"/>
  <c r="AQ40" i="6"/>
  <c r="AR28" i="6"/>
  <c r="AR4" i="4" s="1"/>
  <c r="AQ11" i="6"/>
  <c r="AQ12" i="6" s="1"/>
  <c r="AQ4" i="6"/>
  <c r="AQ100" i="6"/>
  <c r="AQ346" i="6"/>
  <c r="AQ347" i="6" s="1"/>
  <c r="AQ126" i="6"/>
  <c r="AQ46" i="6"/>
  <c r="AQ23" i="6"/>
  <c r="AQ24" i="6" s="1"/>
  <c r="AQ3" i="4" s="1"/>
  <c r="AQ33" i="6"/>
  <c r="AQ35" i="10"/>
  <c r="Q17" i="37"/>
  <c r="R70" i="12"/>
  <c r="Q17" i="11"/>
  <c r="Q18" i="11" s="1"/>
  <c r="S22" i="15"/>
  <c r="Q15" i="37"/>
  <c r="R60" i="12"/>
  <c r="AO40" i="12"/>
  <c r="AO13" i="10"/>
  <c r="AO14" i="10" s="1"/>
  <c r="AO32" i="12"/>
  <c r="AM19" i="37"/>
  <c r="AN83" i="12"/>
  <c r="AN85" i="12" s="1"/>
  <c r="Q21" i="19"/>
  <c r="Q43" i="15"/>
  <c r="Q45" i="15" s="1"/>
  <c r="Q21" i="15"/>
  <c r="AP41" i="6"/>
  <c r="AP34" i="6"/>
  <c r="AP47" i="6"/>
  <c r="R28" i="10"/>
  <c r="AN54" i="6"/>
  <c r="AN61" i="6"/>
  <c r="AN67" i="6"/>
  <c r="P48" i="17"/>
  <c r="P23" i="34" s="1"/>
  <c r="P34" i="17"/>
  <c r="AP53" i="20"/>
  <c r="AP54" i="20" s="1"/>
  <c r="AP58" i="20" s="1"/>
  <c r="AP59" i="20"/>
  <c r="AP250" i="6"/>
  <c r="AP234" i="6"/>
  <c r="AP242" i="6"/>
  <c r="AP290" i="6"/>
  <c r="AP291" i="6" s="1"/>
  <c r="AP183" i="6"/>
  <c r="AP121" i="6"/>
  <c r="AP18" i="6"/>
  <c r="AP19" i="6" s="1"/>
  <c r="AP2" i="4" s="1"/>
  <c r="AP283" i="6"/>
  <c r="AP107" i="6"/>
  <c r="AP94" i="6"/>
  <c r="AP101" i="6"/>
  <c r="AP14" i="37"/>
  <c r="AP76" i="12"/>
  <c r="AP77" i="12" s="1"/>
  <c r="AP64" i="12"/>
  <c r="AP72" i="12"/>
  <c r="AN224" i="6"/>
  <c r="AN203" i="6"/>
  <c r="AM49" i="15"/>
  <c r="AM34" i="15"/>
  <c r="AM12" i="14"/>
  <c r="AM27" i="14"/>
  <c r="AM9" i="28" s="1"/>
  <c r="AN8" i="37"/>
  <c r="AN16" i="12"/>
  <c r="AN41" i="10"/>
  <c r="AN43" i="10" s="1"/>
  <c r="AN25" i="14" s="1"/>
  <c r="AN26" i="14" s="1"/>
  <c r="AN34" i="10"/>
  <c r="AN21" i="10"/>
  <c r="P35" i="17"/>
  <c r="P13" i="17" s="1"/>
  <c r="P15" i="17" s="1"/>
  <c r="AO26" i="31"/>
  <c r="AP11" i="21"/>
  <c r="AO29" i="9"/>
  <c r="AO18" i="37"/>
  <c r="AO62" i="12"/>
  <c r="AO22" i="13"/>
  <c r="AO30" i="13"/>
  <c r="AO84" i="12"/>
  <c r="AN162" i="6"/>
  <c r="AN141" i="6"/>
  <c r="AO2" i="40"/>
  <c r="AO2" i="37"/>
  <c r="AO2" i="34"/>
  <c r="AO2" i="31"/>
  <c r="AO2" i="28"/>
  <c r="AO2" i="22"/>
  <c r="AO2" i="21"/>
  <c r="AO60" i="20"/>
  <c r="AO61" i="20" s="1"/>
  <c r="AO67" i="20" s="1"/>
  <c r="AO2" i="20"/>
  <c r="AO2" i="19"/>
  <c r="AO2" i="18"/>
  <c r="AO2" i="17"/>
  <c r="AO2" i="16"/>
  <c r="AO2" i="14"/>
  <c r="AO2" i="15"/>
  <c r="AO2" i="13"/>
  <c r="AO2" i="12"/>
  <c r="AO2" i="11"/>
  <c r="AO2" i="10"/>
  <c r="AO2" i="8"/>
  <c r="AO282" i="6"/>
  <c r="AO284" i="6" s="1"/>
  <c r="AO276" i="6" s="1"/>
  <c r="AO277" i="6" s="1"/>
  <c r="AO270" i="6" s="1"/>
  <c r="AO249" i="6"/>
  <c r="AO251" i="6" s="1"/>
  <c r="AO21" i="18" s="1"/>
  <c r="AO2" i="9"/>
  <c r="AO2" i="7"/>
  <c r="AO233" i="6"/>
  <c r="AO235" i="6" s="1"/>
  <c r="AO21" i="17" s="1"/>
  <c r="AO319" i="6"/>
  <c r="AO321" i="6" s="1"/>
  <c r="AO313" i="6"/>
  <c r="AP314" i="6" s="1"/>
  <c r="AO182" i="6"/>
  <c r="AO184" i="6" s="1"/>
  <c r="AO189" i="6" s="1"/>
  <c r="AO190" i="6" s="1"/>
  <c r="AO194" i="6" s="1"/>
  <c r="AO176" i="6"/>
  <c r="AO177" i="6" s="1"/>
  <c r="AO120" i="6"/>
  <c r="AO122" i="6" s="1"/>
  <c r="AO127" i="6" s="1"/>
  <c r="AO128" i="6" s="1"/>
  <c r="AO132" i="6" s="1"/>
  <c r="AO114" i="6"/>
  <c r="AO115" i="6" s="1"/>
  <c r="AO92" i="6"/>
  <c r="AO209" i="6"/>
  <c r="AO52" i="6"/>
  <c r="AO147" i="6"/>
  <c r="AO72" i="6"/>
  <c r="AO32" i="6"/>
  <c r="AO2" i="6"/>
  <c r="AO241" i="6"/>
  <c r="AO243" i="6" s="1"/>
  <c r="AO20" i="16" s="1"/>
  <c r="P33" i="18"/>
  <c r="P46" i="18"/>
  <c r="P47" i="18" s="1"/>
  <c r="P42" i="18"/>
  <c r="P18" i="28" s="1"/>
  <c r="AP9" i="37"/>
  <c r="AP17" i="12"/>
  <c r="AP22" i="10"/>
  <c r="AP42" i="10"/>
  <c r="AP3" i="40"/>
  <c r="AP3" i="37"/>
  <c r="AP3" i="34"/>
  <c r="AP3" i="28"/>
  <c r="AP3" i="31"/>
  <c r="AP3" i="21"/>
  <c r="AP3" i="22"/>
  <c r="AP3" i="20"/>
  <c r="AP3" i="18"/>
  <c r="AP3" i="19"/>
  <c r="AP3" i="17"/>
  <c r="AP3" i="16"/>
  <c r="AP3" i="15"/>
  <c r="AP3" i="13"/>
  <c r="AP3" i="14"/>
  <c r="AP3" i="12"/>
  <c r="AP3" i="11"/>
  <c r="AP3" i="8"/>
  <c r="AP3" i="9"/>
  <c r="AP3" i="10"/>
  <c r="AP99" i="6"/>
  <c r="AP59" i="6"/>
  <c r="AP79" i="6"/>
  <c r="AP3" i="6"/>
  <c r="AP3" i="7"/>
  <c r="AP39" i="6"/>
  <c r="AP74" i="6"/>
  <c r="AP81" i="6"/>
  <c r="AP87" i="6"/>
  <c r="AP13" i="21"/>
  <c r="P41" i="16"/>
  <c r="P17" i="28" s="1"/>
  <c r="P45" i="16"/>
  <c r="P46" i="16" s="1"/>
  <c r="P32" i="16"/>
  <c r="Q10" i="31" l="1"/>
  <c r="R41" i="15"/>
  <c r="P16" i="31"/>
  <c r="Q11" i="17"/>
  <c r="AQ53" i="20"/>
  <c r="AQ54" i="20" s="1"/>
  <c r="AQ58" i="20" s="1"/>
  <c r="AQ59" i="20"/>
  <c r="AQ234" i="6"/>
  <c r="AQ242" i="6"/>
  <c r="AQ290" i="6"/>
  <c r="AQ291" i="6" s="1"/>
  <c r="AQ283" i="6"/>
  <c r="AQ183" i="6"/>
  <c r="AQ250" i="6"/>
  <c r="AQ121" i="6"/>
  <c r="AQ18" i="6"/>
  <c r="AQ19" i="6" s="1"/>
  <c r="AQ2" i="4" s="1"/>
  <c r="AP40" i="12"/>
  <c r="AP32" i="12"/>
  <c r="AP13" i="10"/>
  <c r="AP14" i="10" s="1"/>
  <c r="AQ3" i="40"/>
  <c r="AQ3" i="37"/>
  <c r="AQ3" i="34"/>
  <c r="AQ3" i="31"/>
  <c r="AQ3" i="28"/>
  <c r="AQ3" i="22"/>
  <c r="AQ3" i="21"/>
  <c r="AQ3" i="20"/>
  <c r="AQ3" i="18"/>
  <c r="AQ3" i="19"/>
  <c r="AQ3" i="17"/>
  <c r="AQ3" i="16"/>
  <c r="AQ3" i="14"/>
  <c r="AQ3" i="15"/>
  <c r="AQ3" i="13"/>
  <c r="AQ3" i="12"/>
  <c r="AQ3" i="11"/>
  <c r="AQ3" i="10"/>
  <c r="AQ3" i="8"/>
  <c r="AQ3" i="9"/>
  <c r="AQ3" i="7"/>
  <c r="AQ99" i="6"/>
  <c r="AQ59" i="6"/>
  <c r="AQ79" i="6"/>
  <c r="AQ39" i="6"/>
  <c r="AQ3" i="6"/>
  <c r="AR4" i="40"/>
  <c r="AR4" i="37"/>
  <c r="AR4" i="34"/>
  <c r="AR4" i="31"/>
  <c r="AR4" i="28"/>
  <c r="AR4" i="22"/>
  <c r="AR10" i="21"/>
  <c r="AR74" i="20"/>
  <c r="AR32" i="20"/>
  <c r="AR4" i="21"/>
  <c r="AR28" i="19"/>
  <c r="AR4" i="19"/>
  <c r="AR4" i="20"/>
  <c r="AR4" i="18"/>
  <c r="AR10" i="18"/>
  <c r="AR4" i="17"/>
  <c r="AR10" i="17"/>
  <c r="AR10" i="16"/>
  <c r="AR27" i="15"/>
  <c r="AR40" i="15"/>
  <c r="AR4" i="16"/>
  <c r="AR4" i="14"/>
  <c r="AR4" i="15"/>
  <c r="AR19" i="13"/>
  <c r="AR4" i="13"/>
  <c r="AR59" i="12"/>
  <c r="AR82" i="12"/>
  <c r="AR27" i="13"/>
  <c r="AR12" i="10"/>
  <c r="AR4" i="10"/>
  <c r="AR4" i="9"/>
  <c r="AR4" i="7"/>
  <c r="AR4" i="12"/>
  <c r="AR35" i="9"/>
  <c r="AR18" i="12"/>
  <c r="AR46" i="12"/>
  <c r="AR10" i="9"/>
  <c r="AR69" i="12"/>
  <c r="AR23" i="11"/>
  <c r="AR336" i="6"/>
  <c r="AR337" i="6" s="1"/>
  <c r="AR275" i="6"/>
  <c r="AR351" i="6"/>
  <c r="AR352" i="6" s="1"/>
  <c r="AR301" i="6"/>
  <c r="AR302" i="6" s="1"/>
  <c r="AR320" i="6"/>
  <c r="AR4" i="8"/>
  <c r="AR202" i="6"/>
  <c r="AR4" i="11"/>
  <c r="AR312" i="6"/>
  <c r="AR19" i="10"/>
  <c r="AR331" i="6"/>
  <c r="AR332" i="6" s="1"/>
  <c r="AR346" i="6"/>
  <c r="AR347" i="6" s="1"/>
  <c r="AR296" i="6"/>
  <c r="AR297" i="6" s="1"/>
  <c r="AR60" i="6"/>
  <c r="AR188" i="6"/>
  <c r="AR66" i="6"/>
  <c r="AR73" i="6"/>
  <c r="AR259" i="6"/>
  <c r="AR80" i="6"/>
  <c r="AR140" i="6"/>
  <c r="AR86" i="6"/>
  <c r="AR93" i="6"/>
  <c r="AR126" i="6"/>
  <c r="AR100" i="6"/>
  <c r="AR46" i="6"/>
  <c r="AR23" i="6"/>
  <c r="AR24" i="6" s="1"/>
  <c r="AR3" i="4" s="1"/>
  <c r="AS28" i="6"/>
  <c r="AS4" i="4" s="1"/>
  <c r="AR11" i="6"/>
  <c r="AR12" i="6" s="1"/>
  <c r="AR33" i="6"/>
  <c r="AR106" i="6"/>
  <c r="AR53" i="6"/>
  <c r="AR40" i="6"/>
  <c r="AR4" i="6"/>
  <c r="AR35" i="10"/>
  <c r="AQ74" i="6"/>
  <c r="AQ81" i="6"/>
  <c r="AQ87" i="6"/>
  <c r="P34" i="18"/>
  <c r="P35" i="18" s="1"/>
  <c r="P13" i="18" s="1"/>
  <c r="P15" i="18" s="1"/>
  <c r="P48" i="18"/>
  <c r="AO203" i="6"/>
  <c r="AO224" i="6"/>
  <c r="AO54" i="6"/>
  <c r="AO61" i="6"/>
  <c r="AO67" i="6"/>
  <c r="AN19" i="37"/>
  <c r="AO83" i="12"/>
  <c r="AO85" i="12" s="1"/>
  <c r="S8" i="34"/>
  <c r="S44" i="15"/>
  <c r="R27" i="10"/>
  <c r="R29" i="10" s="1"/>
  <c r="Q8" i="28"/>
  <c r="Q19" i="16"/>
  <c r="Q21" i="16" s="1"/>
  <c r="Q26" i="11"/>
  <c r="Q27" i="11" s="1"/>
  <c r="AP2" i="40"/>
  <c r="AP2" i="37"/>
  <c r="AP2" i="34"/>
  <c r="AP2" i="31"/>
  <c r="AP2" i="28"/>
  <c r="AP2" i="22"/>
  <c r="AP2" i="21"/>
  <c r="AP60" i="20"/>
  <c r="AP2" i="20"/>
  <c r="AP2" i="19"/>
  <c r="AP2" i="18"/>
  <c r="AP2" i="17"/>
  <c r="AP2" i="16"/>
  <c r="AP2" i="15"/>
  <c r="AP2" i="14"/>
  <c r="AP2" i="13"/>
  <c r="AP2" i="11"/>
  <c r="AP2" i="10"/>
  <c r="AP2" i="12"/>
  <c r="AP282" i="6"/>
  <c r="AP284" i="6" s="1"/>
  <c r="AP276" i="6" s="1"/>
  <c r="AP277" i="6" s="1"/>
  <c r="AP270" i="6" s="1"/>
  <c r="AP249" i="6"/>
  <c r="AP251" i="6" s="1"/>
  <c r="AP21" i="18" s="1"/>
  <c r="AP2" i="9"/>
  <c r="AP2" i="7"/>
  <c r="AP233" i="6"/>
  <c r="AP235" i="6" s="1"/>
  <c r="AP21" i="17" s="1"/>
  <c r="AP209" i="6"/>
  <c r="AP319" i="6"/>
  <c r="AP321" i="6" s="1"/>
  <c r="AP313" i="6"/>
  <c r="AQ314" i="6" s="1"/>
  <c r="AP241" i="6"/>
  <c r="AP243" i="6" s="1"/>
  <c r="AP20" i="16" s="1"/>
  <c r="AP182" i="6"/>
  <c r="AP184" i="6" s="1"/>
  <c r="AP189" i="6" s="1"/>
  <c r="AP190" i="6" s="1"/>
  <c r="AP194" i="6" s="1"/>
  <c r="AP2" i="8"/>
  <c r="AP114" i="6"/>
  <c r="AP115" i="6" s="1"/>
  <c r="AP92" i="6"/>
  <c r="AP52" i="6"/>
  <c r="AP147" i="6"/>
  <c r="AP72" i="6"/>
  <c r="AP32" i="6"/>
  <c r="AP2" i="6"/>
  <c r="AP176" i="6"/>
  <c r="AP177" i="6" s="1"/>
  <c r="AP120" i="6"/>
  <c r="AP122" i="6" s="1"/>
  <c r="AP127" i="6" s="1"/>
  <c r="AP128" i="6" s="1"/>
  <c r="AP132" i="6" s="1"/>
  <c r="AP61" i="20"/>
  <c r="AP67" i="20" s="1"/>
  <c r="AQ47" i="6"/>
  <c r="AQ34" i="6"/>
  <c r="AQ41" i="6"/>
  <c r="AQ14" i="37"/>
  <c r="AQ76" i="12"/>
  <c r="AQ77" i="12" s="1"/>
  <c r="AQ64" i="12"/>
  <c r="AQ72" i="12"/>
  <c r="P22" i="34"/>
  <c r="AP26" i="31"/>
  <c r="AQ11" i="21"/>
  <c r="AQ13" i="21" s="1"/>
  <c r="AP29" i="9"/>
  <c r="P33" i="16"/>
  <c r="P34" i="16" s="1"/>
  <c r="P13" i="16" s="1"/>
  <c r="P15" i="16" s="1"/>
  <c r="P47" i="16"/>
  <c r="AO162" i="6"/>
  <c r="AO141" i="6"/>
  <c r="AN49" i="15"/>
  <c r="AN27" i="14"/>
  <c r="AN9" i="28" s="1"/>
  <c r="AN34" i="15"/>
  <c r="AN12" i="14"/>
  <c r="AP18" i="37"/>
  <c r="AP62" i="12"/>
  <c r="AP22" i="13"/>
  <c r="AP30" i="13"/>
  <c r="AP84" i="12"/>
  <c r="AO8" i="37"/>
  <c r="AO16" i="12"/>
  <c r="AO34" i="10"/>
  <c r="AO21" i="10"/>
  <c r="AO41" i="10"/>
  <c r="AO43" i="10" s="1"/>
  <c r="AO25" i="14" s="1"/>
  <c r="AO26" i="14" s="1"/>
  <c r="AQ9" i="37"/>
  <c r="AQ17" i="12"/>
  <c r="AQ22" i="10"/>
  <c r="AQ42" i="10"/>
  <c r="AQ94" i="6"/>
  <c r="AQ101" i="6"/>
  <c r="AQ107" i="6"/>
  <c r="P17" i="31" l="1"/>
  <c r="Q11" i="16"/>
  <c r="AQ26" i="31"/>
  <c r="AR11" i="21"/>
  <c r="AQ29" i="9"/>
  <c r="AP224" i="6"/>
  <c r="AP203" i="6"/>
  <c r="AP162" i="6"/>
  <c r="AP141" i="6"/>
  <c r="R53" i="12"/>
  <c r="R54" i="12" s="1"/>
  <c r="R11" i="11"/>
  <c r="R12" i="11" s="1"/>
  <c r="R23" i="10"/>
  <c r="R24" i="10" s="1"/>
  <c r="AO19" i="37"/>
  <c r="AP83" i="12"/>
  <c r="AP85" i="12" s="1"/>
  <c r="AR9" i="37"/>
  <c r="AR17" i="12"/>
  <c r="AR22" i="10"/>
  <c r="AR42" i="10"/>
  <c r="AS4" i="40"/>
  <c r="AS4" i="37"/>
  <c r="AS4" i="34"/>
  <c r="AS4" i="31"/>
  <c r="AS4" i="28"/>
  <c r="AS4" i="22"/>
  <c r="AS4" i="21"/>
  <c r="AS10" i="21"/>
  <c r="AS4" i="20"/>
  <c r="AS74" i="20"/>
  <c r="AS28" i="19"/>
  <c r="AS32" i="20"/>
  <c r="AS4" i="19"/>
  <c r="AS4" i="18"/>
  <c r="AS10" i="18"/>
  <c r="AS4" i="17"/>
  <c r="AS4" i="16"/>
  <c r="AS40" i="15"/>
  <c r="AS10" i="16"/>
  <c r="AS10" i="17"/>
  <c r="AS4" i="15"/>
  <c r="AS27" i="15"/>
  <c r="AS27" i="13"/>
  <c r="AS82" i="12"/>
  <c r="AS4" i="14"/>
  <c r="AS19" i="13"/>
  <c r="AS4" i="13"/>
  <c r="AS69" i="12"/>
  <c r="AS46" i="12"/>
  <c r="AS59" i="12"/>
  <c r="AS12" i="10"/>
  <c r="AS4" i="10"/>
  <c r="AS4" i="12"/>
  <c r="AS35" i="9"/>
  <c r="AS4" i="8"/>
  <c r="AS18" i="12"/>
  <c r="AS23" i="11"/>
  <c r="AS4" i="11"/>
  <c r="AS19" i="10"/>
  <c r="AS351" i="6"/>
  <c r="AS352" i="6" s="1"/>
  <c r="AS301" i="6"/>
  <c r="AS302" i="6" s="1"/>
  <c r="AS10" i="9"/>
  <c r="AS320" i="6"/>
  <c r="AS202" i="6"/>
  <c r="AS312" i="6"/>
  <c r="AS4" i="7"/>
  <c r="AS331" i="6"/>
  <c r="AS332" i="6" s="1"/>
  <c r="AS346" i="6"/>
  <c r="AS347" i="6" s="1"/>
  <c r="AS296" i="6"/>
  <c r="AS297" i="6" s="1"/>
  <c r="AS4" i="9"/>
  <c r="AS259" i="6"/>
  <c r="AS188" i="6"/>
  <c r="AS66" i="6"/>
  <c r="AS73" i="6"/>
  <c r="AS80" i="6"/>
  <c r="AS4" i="6"/>
  <c r="AS140" i="6"/>
  <c r="AS86" i="6"/>
  <c r="AS33" i="6"/>
  <c r="AS93" i="6"/>
  <c r="AS126" i="6"/>
  <c r="AS100" i="6"/>
  <c r="AS46" i="6"/>
  <c r="AS106" i="6"/>
  <c r="AS53" i="6"/>
  <c r="AS23" i="6"/>
  <c r="AS24" i="6" s="1"/>
  <c r="AS3" i="4" s="1"/>
  <c r="AS275" i="6"/>
  <c r="AS60" i="6"/>
  <c r="AT28" i="6"/>
  <c r="AT4" i="4" s="1"/>
  <c r="AS336" i="6"/>
  <c r="AS337" i="6" s="1"/>
  <c r="AS40" i="6"/>
  <c r="AS11" i="6"/>
  <c r="AS12" i="6" s="1"/>
  <c r="AS35" i="10"/>
  <c r="AR94" i="6"/>
  <c r="AR101" i="6"/>
  <c r="AR107" i="6"/>
  <c r="AR3" i="40"/>
  <c r="AR3" i="37"/>
  <c r="AR3" i="34"/>
  <c r="AR3" i="31"/>
  <c r="AR3" i="28"/>
  <c r="AR3" i="22"/>
  <c r="AR3" i="21"/>
  <c r="AR3" i="20"/>
  <c r="AR3" i="19"/>
  <c r="AR3" i="18"/>
  <c r="AR3" i="17"/>
  <c r="AR3" i="16"/>
  <c r="AR3" i="15"/>
  <c r="AR3" i="13"/>
  <c r="AR3" i="14"/>
  <c r="AR3" i="11"/>
  <c r="AR3" i="10"/>
  <c r="AR3" i="9"/>
  <c r="AR3" i="8"/>
  <c r="AR3" i="12"/>
  <c r="AR3" i="7"/>
  <c r="AR59" i="6"/>
  <c r="AR79" i="6"/>
  <c r="AR39" i="6"/>
  <c r="AR99" i="6"/>
  <c r="AR3" i="6"/>
  <c r="AR74" i="6"/>
  <c r="AR81" i="6"/>
  <c r="AR87" i="6"/>
  <c r="AQ32" i="12"/>
  <c r="AQ40" i="12"/>
  <c r="AQ13" i="10"/>
  <c r="AQ14" i="10" s="1"/>
  <c r="P24" i="34"/>
  <c r="Q14" i="31"/>
  <c r="R24" i="11"/>
  <c r="P18" i="31"/>
  <c r="Q11" i="18"/>
  <c r="AP8" i="37"/>
  <c r="AP34" i="10"/>
  <c r="AP16" i="12"/>
  <c r="AP21" i="10"/>
  <c r="AP41" i="10"/>
  <c r="AP43" i="10" s="1"/>
  <c r="AP25" i="14" s="1"/>
  <c r="AP26" i="14" s="1"/>
  <c r="AP54" i="6"/>
  <c r="AP61" i="6"/>
  <c r="AP67" i="6"/>
  <c r="Q19" i="34"/>
  <c r="Q26" i="16"/>
  <c r="S27" i="16" s="1"/>
  <c r="Q12" i="16"/>
  <c r="P25" i="34"/>
  <c r="Q40" i="17"/>
  <c r="Q41" i="17" s="1"/>
  <c r="AO49" i="15"/>
  <c r="AO12" i="14"/>
  <c r="AO34" i="15"/>
  <c r="AO27" i="14"/>
  <c r="AO9" i="28" s="1"/>
  <c r="AQ18" i="37"/>
  <c r="AQ22" i="13"/>
  <c r="AQ30" i="13"/>
  <c r="AQ84" i="12"/>
  <c r="AQ62" i="12"/>
  <c r="AQ2" i="40"/>
  <c r="AQ2" i="37"/>
  <c r="AQ2" i="34"/>
  <c r="AQ2" i="31"/>
  <c r="AQ2" i="28"/>
  <c r="AQ2" i="21"/>
  <c r="AQ2" i="22"/>
  <c r="AQ60" i="20"/>
  <c r="AQ2" i="19"/>
  <c r="AQ2" i="20"/>
  <c r="AQ2" i="18"/>
  <c r="AQ2" i="17"/>
  <c r="AQ2" i="16"/>
  <c r="AQ2" i="15"/>
  <c r="AQ2" i="14"/>
  <c r="AQ2" i="13"/>
  <c r="AQ2" i="11"/>
  <c r="AQ2" i="10"/>
  <c r="AQ2" i="12"/>
  <c r="AQ249" i="6"/>
  <c r="AQ251" i="6" s="1"/>
  <c r="AQ21" i="18" s="1"/>
  <c r="AQ2" i="9"/>
  <c r="AQ2" i="7"/>
  <c r="AQ233" i="6"/>
  <c r="AQ235" i="6" s="1"/>
  <c r="AQ21" i="17" s="1"/>
  <c r="AQ209" i="6"/>
  <c r="AQ319" i="6"/>
  <c r="AQ321" i="6" s="1"/>
  <c r="AQ313" i="6"/>
  <c r="AR314" i="6" s="1"/>
  <c r="AQ241" i="6"/>
  <c r="AQ243" i="6" s="1"/>
  <c r="AQ20" i="16" s="1"/>
  <c r="AQ2" i="8"/>
  <c r="AQ52" i="6"/>
  <c r="AQ147" i="6"/>
  <c r="AQ282" i="6"/>
  <c r="AQ284" i="6" s="1"/>
  <c r="AQ276" i="6" s="1"/>
  <c r="AQ277" i="6" s="1"/>
  <c r="AQ270" i="6" s="1"/>
  <c r="AQ72" i="6"/>
  <c r="AQ176" i="6"/>
  <c r="AQ177" i="6" s="1"/>
  <c r="AQ120" i="6"/>
  <c r="AQ122" i="6" s="1"/>
  <c r="AQ127" i="6" s="1"/>
  <c r="AQ128" i="6" s="1"/>
  <c r="AQ132" i="6" s="1"/>
  <c r="AQ32" i="6"/>
  <c r="AQ2" i="6"/>
  <c r="AQ182" i="6"/>
  <c r="AQ184" i="6" s="1"/>
  <c r="AQ189" i="6" s="1"/>
  <c r="AQ190" i="6" s="1"/>
  <c r="AQ194" i="6" s="1"/>
  <c r="AQ114" i="6"/>
  <c r="AQ115" i="6" s="1"/>
  <c r="AQ92" i="6"/>
  <c r="AR59" i="20"/>
  <c r="AR53" i="20"/>
  <c r="AR54" i="20" s="1"/>
  <c r="AR58" i="20" s="1"/>
  <c r="AR234" i="6"/>
  <c r="AR242" i="6"/>
  <c r="AR183" i="6"/>
  <c r="AR290" i="6"/>
  <c r="AR291" i="6" s="1"/>
  <c r="AR283" i="6"/>
  <c r="AR250" i="6"/>
  <c r="AR121" i="6"/>
  <c r="AR18" i="6"/>
  <c r="AR19" i="6" s="1"/>
  <c r="AR2" i="4" s="1"/>
  <c r="AR34" i="6"/>
  <c r="AR47" i="6"/>
  <c r="AR41" i="6"/>
  <c r="AR14" i="37"/>
  <c r="AR72" i="12"/>
  <c r="AR64" i="12"/>
  <c r="AR76" i="12"/>
  <c r="AR77" i="12" s="1"/>
  <c r="AR13" i="21"/>
  <c r="AQ61" i="20"/>
  <c r="AQ67" i="20" s="1"/>
  <c r="AR40" i="12" l="1"/>
  <c r="AR13" i="10"/>
  <c r="AR14" i="10" s="1"/>
  <c r="AR32" i="12"/>
  <c r="Q42" i="17"/>
  <c r="Q16" i="28" s="1"/>
  <c r="Q46" i="17"/>
  <c r="Q47" i="17" s="1"/>
  <c r="Q33" i="17"/>
  <c r="AS74" i="6"/>
  <c r="AS81" i="6"/>
  <c r="AS87" i="6"/>
  <c r="AT4" i="40"/>
  <c r="AT4" i="37"/>
  <c r="AT4" i="34"/>
  <c r="AT4" i="28"/>
  <c r="AT4" i="31"/>
  <c r="AT4" i="21"/>
  <c r="AT4" i="22"/>
  <c r="AT10" i="21"/>
  <c r="AT74" i="20"/>
  <c r="AT28" i="19"/>
  <c r="AT4" i="20"/>
  <c r="AT4" i="18"/>
  <c r="AT4" i="19"/>
  <c r="AT32" i="20"/>
  <c r="AT10" i="17"/>
  <c r="AT10" i="18"/>
  <c r="AT4" i="17"/>
  <c r="AT27" i="15"/>
  <c r="AT40" i="15"/>
  <c r="AT4" i="16"/>
  <c r="AT4" i="15"/>
  <c r="AT69" i="12"/>
  <c r="AT10" i="16"/>
  <c r="AT19" i="13"/>
  <c r="AT4" i="13"/>
  <c r="AT27" i="13"/>
  <c r="AT4" i="14"/>
  <c r="AT82" i="12"/>
  <c r="AT4" i="12"/>
  <c r="AT46" i="12"/>
  <c r="AT59" i="12"/>
  <c r="AT18" i="12"/>
  <c r="AT23" i="11"/>
  <c r="AT4" i="11"/>
  <c r="AT19" i="10"/>
  <c r="AT10" i="9"/>
  <c r="AT320" i="6"/>
  <c r="AT202" i="6"/>
  <c r="AT4" i="8"/>
  <c r="AT312" i="6"/>
  <c r="AT35" i="9"/>
  <c r="AT4" i="7"/>
  <c r="AT331" i="6"/>
  <c r="AT332" i="6" s="1"/>
  <c r="AT188" i="6"/>
  <c r="AT346" i="6"/>
  <c r="AT347" i="6" s="1"/>
  <c r="AT296" i="6"/>
  <c r="AT297" i="6" s="1"/>
  <c r="AT4" i="9"/>
  <c r="AT259" i="6"/>
  <c r="AT12" i="10"/>
  <c r="AT4" i="10"/>
  <c r="AT336" i="6"/>
  <c r="AT337" i="6" s="1"/>
  <c r="AT275" i="6"/>
  <c r="AT301" i="6"/>
  <c r="AT302" i="6" s="1"/>
  <c r="AT73" i="6"/>
  <c r="AT80" i="6"/>
  <c r="AT4" i="6"/>
  <c r="AT140" i="6"/>
  <c r="AT86" i="6"/>
  <c r="AT33" i="6"/>
  <c r="AT11" i="6"/>
  <c r="AT12" i="6" s="1"/>
  <c r="AT351" i="6"/>
  <c r="AT352" i="6" s="1"/>
  <c r="AT93" i="6"/>
  <c r="AT40" i="6"/>
  <c r="AU28" i="6"/>
  <c r="AU4" i="4" s="1"/>
  <c r="AT126" i="6"/>
  <c r="AT100" i="6"/>
  <c r="AT106" i="6"/>
  <c r="AT53" i="6"/>
  <c r="AT60" i="6"/>
  <c r="AT23" i="6"/>
  <c r="AT24" i="6" s="1"/>
  <c r="AT3" i="4" s="1"/>
  <c r="AT66" i="6"/>
  <c r="AT46" i="6"/>
  <c r="AT35" i="10"/>
  <c r="AP19" i="37"/>
  <c r="AQ83" i="12"/>
  <c r="AQ85" i="12" s="1"/>
  <c r="AS14" i="37"/>
  <c r="AS64" i="12"/>
  <c r="AS76" i="12"/>
  <c r="AS77" i="12" s="1"/>
  <c r="AS72" i="12"/>
  <c r="AP49" i="15"/>
  <c r="AP27" i="14"/>
  <c r="AP9" i="28" s="1"/>
  <c r="AP34" i="15"/>
  <c r="AP12" i="14"/>
  <c r="R10" i="37"/>
  <c r="R24" i="12"/>
  <c r="R26" i="12" s="1"/>
  <c r="R31" i="12" s="1"/>
  <c r="S20" i="10"/>
  <c r="AQ203" i="6"/>
  <c r="AQ224" i="6"/>
  <c r="S28" i="16"/>
  <c r="S20" i="34" s="1"/>
  <c r="S14" i="16"/>
  <c r="AS9" i="37"/>
  <c r="AS22" i="10"/>
  <c r="AS17" i="12"/>
  <c r="AS42" i="10"/>
  <c r="AS3" i="40"/>
  <c r="AS3" i="37"/>
  <c r="AS3" i="34"/>
  <c r="AS3" i="31"/>
  <c r="AS3" i="28"/>
  <c r="AS3" i="22"/>
  <c r="AS3" i="21"/>
  <c r="AS3" i="20"/>
  <c r="AS3" i="19"/>
  <c r="AS3" i="18"/>
  <c r="AS3" i="17"/>
  <c r="AS3" i="16"/>
  <c r="AS3" i="14"/>
  <c r="AS3" i="15"/>
  <c r="AS3" i="13"/>
  <c r="AS3" i="12"/>
  <c r="AS3" i="11"/>
  <c r="AS3" i="10"/>
  <c r="AS3" i="8"/>
  <c r="AS3" i="9"/>
  <c r="AS3" i="7"/>
  <c r="AS59" i="6"/>
  <c r="AS79" i="6"/>
  <c r="AS99" i="6"/>
  <c r="AS39" i="6"/>
  <c r="AS3" i="6"/>
  <c r="R16" i="19"/>
  <c r="R17" i="19" s="1"/>
  <c r="R42" i="15"/>
  <c r="R20" i="15"/>
  <c r="R25" i="11"/>
  <c r="AR2" i="40"/>
  <c r="AR2" i="37"/>
  <c r="AR2" i="34"/>
  <c r="AR2" i="31"/>
  <c r="AR2" i="28"/>
  <c r="AR2" i="22"/>
  <c r="AR2" i="21"/>
  <c r="AR60" i="20"/>
  <c r="AR61" i="20" s="1"/>
  <c r="AR67" i="20" s="1"/>
  <c r="AR2" i="20"/>
  <c r="AR2" i="19"/>
  <c r="AR2" i="18"/>
  <c r="AR2" i="17"/>
  <c r="AR2" i="16"/>
  <c r="AR2" i="14"/>
  <c r="AR2" i="15"/>
  <c r="AR2" i="13"/>
  <c r="AR2" i="10"/>
  <c r="AR2" i="9"/>
  <c r="AR2" i="12"/>
  <c r="AR2" i="7"/>
  <c r="AR233" i="6"/>
  <c r="AR235" i="6" s="1"/>
  <c r="AR21" i="17" s="1"/>
  <c r="AR209" i="6"/>
  <c r="AR2" i="11"/>
  <c r="AR319" i="6"/>
  <c r="AR321" i="6" s="1"/>
  <c r="AR313" i="6"/>
  <c r="AS314" i="6" s="1"/>
  <c r="AR241" i="6"/>
  <c r="AR243" i="6" s="1"/>
  <c r="AR20" i="16" s="1"/>
  <c r="AR2" i="8"/>
  <c r="AR282" i="6"/>
  <c r="AR284" i="6" s="1"/>
  <c r="AR276" i="6" s="1"/>
  <c r="AR277" i="6" s="1"/>
  <c r="AR270" i="6" s="1"/>
  <c r="AR52" i="6"/>
  <c r="AR249" i="6"/>
  <c r="AR251" i="6" s="1"/>
  <c r="AR21" i="18" s="1"/>
  <c r="AR147" i="6"/>
  <c r="AR72" i="6"/>
  <c r="AR176" i="6"/>
  <c r="AR177" i="6" s="1"/>
  <c r="AR120" i="6"/>
  <c r="AR122" i="6" s="1"/>
  <c r="AR127" i="6" s="1"/>
  <c r="AR128" i="6" s="1"/>
  <c r="AR132" i="6" s="1"/>
  <c r="AR182" i="6"/>
  <c r="AR184" i="6" s="1"/>
  <c r="AR189" i="6" s="1"/>
  <c r="AR190" i="6" s="1"/>
  <c r="AR194" i="6" s="1"/>
  <c r="AR114" i="6"/>
  <c r="AR115" i="6" s="1"/>
  <c r="AR92" i="6"/>
  <c r="AR2" i="6"/>
  <c r="AR32" i="6"/>
  <c r="AQ61" i="6"/>
  <c r="AQ67" i="6"/>
  <c r="AQ54" i="6"/>
  <c r="Q40" i="18"/>
  <c r="Q41" i="18" s="1"/>
  <c r="Q27" i="18"/>
  <c r="Q28" i="18" s="1"/>
  <c r="AS34" i="6"/>
  <c r="AS41" i="6"/>
  <c r="AS47" i="6"/>
  <c r="R16" i="37"/>
  <c r="R71" i="12"/>
  <c r="R73" i="12" s="1"/>
  <c r="R63" i="12"/>
  <c r="R65" i="12" s="1"/>
  <c r="AR26" i="31"/>
  <c r="AS11" i="21"/>
  <c r="AS13" i="21" s="1"/>
  <c r="AR29" i="9"/>
  <c r="AR18" i="37"/>
  <c r="AR30" i="13"/>
  <c r="AR84" i="12"/>
  <c r="AR62" i="12"/>
  <c r="AR22" i="13"/>
  <c r="AQ141" i="6"/>
  <c r="AQ162" i="6"/>
  <c r="AQ8" i="37"/>
  <c r="AQ34" i="10"/>
  <c r="AQ16" i="12"/>
  <c r="AQ21" i="10"/>
  <c r="AQ41" i="10"/>
  <c r="AQ43" i="10" s="1"/>
  <c r="AQ25" i="14" s="1"/>
  <c r="AQ26" i="14" s="1"/>
  <c r="AS59" i="20"/>
  <c r="AS53" i="20"/>
  <c r="AS54" i="20" s="1"/>
  <c r="AS58" i="20" s="1"/>
  <c r="AS242" i="6"/>
  <c r="AS183" i="6"/>
  <c r="AS290" i="6"/>
  <c r="AS291" i="6" s="1"/>
  <c r="AS283" i="6"/>
  <c r="AS250" i="6"/>
  <c r="AS121" i="6"/>
  <c r="AS18" i="6"/>
  <c r="AS19" i="6" s="1"/>
  <c r="AS2" i="4" s="1"/>
  <c r="AS234" i="6"/>
  <c r="AS94" i="6"/>
  <c r="AS101" i="6"/>
  <c r="AS107" i="6"/>
  <c r="Q39" i="16"/>
  <c r="Q40" i="16" s="1"/>
  <c r="AS26" i="31" l="1"/>
  <c r="AT11" i="21"/>
  <c r="AS29" i="9"/>
  <c r="AT3" i="40"/>
  <c r="AT3" i="37"/>
  <c r="AT3" i="34"/>
  <c r="AT3" i="31"/>
  <c r="AT3" i="28"/>
  <c r="AT3" i="22"/>
  <c r="AT3" i="21"/>
  <c r="AT3" i="20"/>
  <c r="AT3" i="19"/>
  <c r="AT3" i="18"/>
  <c r="AT3" i="17"/>
  <c r="AT3" i="16"/>
  <c r="AT3" i="15"/>
  <c r="AT3" i="14"/>
  <c r="AT3" i="13"/>
  <c r="AT3" i="11"/>
  <c r="AT3" i="10"/>
  <c r="AT3" i="12"/>
  <c r="AT3" i="9"/>
  <c r="AT3" i="7"/>
  <c r="AT3" i="8"/>
  <c r="AT79" i="6"/>
  <c r="AT99" i="6"/>
  <c r="AT39" i="6"/>
  <c r="AT3" i="6"/>
  <c r="AT59" i="6"/>
  <c r="AR203" i="6"/>
  <c r="AR224" i="6"/>
  <c r="S28" i="10"/>
  <c r="AS18" i="37"/>
  <c r="AS30" i="13"/>
  <c r="AS84" i="12"/>
  <c r="AS62" i="12"/>
  <c r="AS22" i="13"/>
  <c r="AT94" i="6"/>
  <c r="AT101" i="6"/>
  <c r="AT107" i="6"/>
  <c r="AT34" i="6"/>
  <c r="AT41" i="6"/>
  <c r="AT47" i="6"/>
  <c r="AT53" i="20"/>
  <c r="AT54" i="20" s="1"/>
  <c r="AT58" i="20" s="1"/>
  <c r="AT59" i="20"/>
  <c r="AT242" i="6"/>
  <c r="AT183" i="6"/>
  <c r="AT290" i="6"/>
  <c r="AT291" i="6" s="1"/>
  <c r="AT283" i="6"/>
  <c r="AT250" i="6"/>
  <c r="AT234" i="6"/>
  <c r="AT121" i="6"/>
  <c r="AT18" i="6"/>
  <c r="AT19" i="6" s="1"/>
  <c r="AT2" i="4" s="1"/>
  <c r="AT13" i="21"/>
  <c r="AQ19" i="37"/>
  <c r="AR83" i="12"/>
  <c r="AR85" i="12" s="1"/>
  <c r="AT81" i="6"/>
  <c r="AT87" i="6"/>
  <c r="AT74" i="6"/>
  <c r="R17" i="37"/>
  <c r="S70" i="12"/>
  <c r="R17" i="11"/>
  <c r="R18" i="11" s="1"/>
  <c r="Q29" i="18"/>
  <c r="Q22" i="34" s="1"/>
  <c r="Q14" i="18"/>
  <c r="AT9" i="37"/>
  <c r="AT17" i="12"/>
  <c r="AT42" i="10"/>
  <c r="AT22" i="10"/>
  <c r="Q34" i="17"/>
  <c r="Q35" i="17" s="1"/>
  <c r="Q13" i="17" s="1"/>
  <c r="Q15" i="17" s="1"/>
  <c r="Q48" i="17"/>
  <c r="Q23" i="34" s="1"/>
  <c r="AR67" i="6"/>
  <c r="AR54" i="6"/>
  <c r="AR61" i="6"/>
  <c r="Q33" i="18"/>
  <c r="Q46" i="18"/>
  <c r="Q47" i="18" s="1"/>
  <c r="Q42" i="18"/>
  <c r="Q18" i="28" s="1"/>
  <c r="R21" i="19"/>
  <c r="R43" i="15"/>
  <c r="R45" i="15" s="1"/>
  <c r="R21" i="15"/>
  <c r="T22" i="15" s="1"/>
  <c r="Q32" i="16"/>
  <c r="Q41" i="16"/>
  <c r="Q17" i="28" s="1"/>
  <c r="Q45" i="16"/>
  <c r="Q46" i="16" s="1"/>
  <c r="AS2" i="40"/>
  <c r="AS2" i="37"/>
  <c r="AS2" i="34"/>
  <c r="AS2" i="31"/>
  <c r="AS2" i="28"/>
  <c r="AS2" i="21"/>
  <c r="AS2" i="22"/>
  <c r="AS60" i="20"/>
  <c r="AS2" i="20"/>
  <c r="AS2" i="19"/>
  <c r="AS2" i="18"/>
  <c r="AS2" i="17"/>
  <c r="AS2" i="16"/>
  <c r="AS2" i="15"/>
  <c r="AS2" i="14"/>
  <c r="AS2" i="13"/>
  <c r="AS2" i="10"/>
  <c r="AS2" i="8"/>
  <c r="AS2" i="12"/>
  <c r="AS2" i="11"/>
  <c r="AS2" i="9"/>
  <c r="AS2" i="7"/>
  <c r="AS233" i="6"/>
  <c r="AS235" i="6" s="1"/>
  <c r="AS21" i="17" s="1"/>
  <c r="AS319" i="6"/>
  <c r="AS321" i="6" s="1"/>
  <c r="AS313" i="6"/>
  <c r="AS241" i="6"/>
  <c r="AS243" i="6" s="1"/>
  <c r="AS20" i="16" s="1"/>
  <c r="AS182" i="6"/>
  <c r="AS184" i="6" s="1"/>
  <c r="AS189" i="6" s="1"/>
  <c r="AS190" i="6" s="1"/>
  <c r="AS194" i="6" s="1"/>
  <c r="AS282" i="6"/>
  <c r="AS284" i="6" s="1"/>
  <c r="AS276" i="6" s="1"/>
  <c r="AS277" i="6" s="1"/>
  <c r="AS270" i="6" s="1"/>
  <c r="AS249" i="6"/>
  <c r="AS251" i="6" s="1"/>
  <c r="AS21" i="18" s="1"/>
  <c r="AS147" i="6"/>
  <c r="AS209" i="6"/>
  <c r="AS72" i="6"/>
  <c r="AS176" i="6"/>
  <c r="AS177" i="6" s="1"/>
  <c r="AS120" i="6"/>
  <c r="AS122" i="6" s="1"/>
  <c r="AS127" i="6" s="1"/>
  <c r="AS128" i="6" s="1"/>
  <c r="AS132" i="6" s="1"/>
  <c r="AS114" i="6"/>
  <c r="AS115" i="6" s="1"/>
  <c r="AS92" i="6"/>
  <c r="AS2" i="6"/>
  <c r="AS32" i="6"/>
  <c r="AS52" i="6"/>
  <c r="AR141" i="6"/>
  <c r="AR162" i="6"/>
  <c r="AU4" i="40"/>
  <c r="AU4" i="37"/>
  <c r="AU4" i="34"/>
  <c r="AU4" i="31"/>
  <c r="AU4" i="28"/>
  <c r="AU4" i="22"/>
  <c r="AU10" i="21"/>
  <c r="AU4" i="21"/>
  <c r="AU74" i="20"/>
  <c r="AU28" i="19"/>
  <c r="AU4" i="20"/>
  <c r="AU32" i="20"/>
  <c r="AU4" i="18"/>
  <c r="AU4" i="19"/>
  <c r="AU10" i="18"/>
  <c r="AU40" i="15"/>
  <c r="AU4" i="17"/>
  <c r="AU10" i="16"/>
  <c r="AU10" i="17"/>
  <c r="AU4" i="16"/>
  <c r="AU4" i="14"/>
  <c r="AU4" i="15"/>
  <c r="AU69" i="12"/>
  <c r="AU19" i="13"/>
  <c r="AU4" i="13"/>
  <c r="AU27" i="13"/>
  <c r="AU27" i="15"/>
  <c r="AU82" i="12"/>
  <c r="AU46" i="12"/>
  <c r="AU18" i="12"/>
  <c r="AU4" i="12"/>
  <c r="AU23" i="11"/>
  <c r="AU4" i="11"/>
  <c r="AU19" i="10"/>
  <c r="AU59" i="12"/>
  <c r="AU12" i="10"/>
  <c r="AU4" i="10"/>
  <c r="AU4" i="8"/>
  <c r="AU312" i="6"/>
  <c r="AU35" i="9"/>
  <c r="AU4" i="7"/>
  <c r="AU331" i="6"/>
  <c r="AU332" i="6" s="1"/>
  <c r="AU188" i="6"/>
  <c r="AU346" i="6"/>
  <c r="AU347" i="6" s="1"/>
  <c r="AU296" i="6"/>
  <c r="AU297" i="6" s="1"/>
  <c r="AU4" i="9"/>
  <c r="AU259" i="6"/>
  <c r="AU336" i="6"/>
  <c r="AU337" i="6" s="1"/>
  <c r="AU275" i="6"/>
  <c r="AU351" i="6"/>
  <c r="AU352" i="6" s="1"/>
  <c r="AU301" i="6"/>
  <c r="AU302" i="6" s="1"/>
  <c r="AU80" i="6"/>
  <c r="AU140" i="6"/>
  <c r="AU86" i="6"/>
  <c r="AU33" i="6"/>
  <c r="AU11" i="6"/>
  <c r="AU12" i="6" s="1"/>
  <c r="AU93" i="6"/>
  <c r="AU40" i="6"/>
  <c r="AV28" i="6"/>
  <c r="AV4" i="4" s="1"/>
  <c r="AU10" i="9"/>
  <c r="AU126" i="6"/>
  <c r="AU100" i="6"/>
  <c r="AU46" i="6"/>
  <c r="AU106" i="6"/>
  <c r="AU53" i="6"/>
  <c r="AU60" i="6"/>
  <c r="AU320" i="6"/>
  <c r="AU66" i="6"/>
  <c r="AU23" i="6"/>
  <c r="AU24" i="6" s="1"/>
  <c r="AU3" i="4" s="1"/>
  <c r="AU202" i="6"/>
  <c r="AU73" i="6"/>
  <c r="AU4" i="6"/>
  <c r="AU35" i="10"/>
  <c r="AT314" i="6"/>
  <c r="AT14" i="37"/>
  <c r="AT76" i="12"/>
  <c r="AT77" i="12" s="1"/>
  <c r="AT72" i="12"/>
  <c r="AT64" i="12"/>
  <c r="AS40" i="12"/>
  <c r="AS32" i="12"/>
  <c r="AS13" i="10"/>
  <c r="AS14" i="10" s="1"/>
  <c r="R15" i="37"/>
  <c r="S60" i="12"/>
  <c r="AS61" i="20"/>
  <c r="AS67" i="20" s="1"/>
  <c r="AQ34" i="15"/>
  <c r="AQ12" i="14"/>
  <c r="AQ49" i="15"/>
  <c r="AQ27" i="14"/>
  <c r="AQ9" i="28" s="1"/>
  <c r="AR8" i="37"/>
  <c r="AR16" i="12"/>
  <c r="AR34" i="10"/>
  <c r="AR21" i="10"/>
  <c r="AR41" i="10"/>
  <c r="AR43" i="10" s="1"/>
  <c r="AR25" i="14" s="1"/>
  <c r="AR26" i="14" s="1"/>
  <c r="Q16" i="31" l="1"/>
  <c r="R11" i="17"/>
  <c r="T8" i="34"/>
  <c r="T44" i="15"/>
  <c r="AV4" i="40"/>
  <c r="AV4" i="37"/>
  <c r="AV4" i="34"/>
  <c r="AV4" i="31"/>
  <c r="AV4" i="28"/>
  <c r="AV4" i="22"/>
  <c r="AV74" i="20"/>
  <c r="AV4" i="21"/>
  <c r="AV32" i="20"/>
  <c r="AV28" i="19"/>
  <c r="AV4" i="20"/>
  <c r="AV10" i="21"/>
  <c r="AV10" i="18"/>
  <c r="AV4" i="19"/>
  <c r="AV10" i="17"/>
  <c r="AV4" i="18"/>
  <c r="AV4" i="17"/>
  <c r="AV4" i="16"/>
  <c r="AV40" i="15"/>
  <c r="AV4" i="15"/>
  <c r="AV10" i="16"/>
  <c r="AV27" i="15"/>
  <c r="AV19" i="13"/>
  <c r="AV4" i="13"/>
  <c r="AV27" i="13"/>
  <c r="AV82" i="12"/>
  <c r="AV4" i="14"/>
  <c r="AV46" i="12"/>
  <c r="AV69" i="12"/>
  <c r="AV59" i="12"/>
  <c r="AV18" i="12"/>
  <c r="AV10" i="9"/>
  <c r="AV23" i="11"/>
  <c r="AV4" i="11"/>
  <c r="AV19" i="10"/>
  <c r="AV12" i="10"/>
  <c r="AV4" i="10"/>
  <c r="AV4" i="9"/>
  <c r="AV4" i="7"/>
  <c r="AV4" i="8"/>
  <c r="AV312" i="6"/>
  <c r="AV35" i="9"/>
  <c r="AV331" i="6"/>
  <c r="AV332" i="6" s="1"/>
  <c r="AV188" i="6"/>
  <c r="AV346" i="6"/>
  <c r="AV347" i="6" s="1"/>
  <c r="AV296" i="6"/>
  <c r="AV297" i="6" s="1"/>
  <c r="AV259" i="6"/>
  <c r="AV336" i="6"/>
  <c r="AV337" i="6" s="1"/>
  <c r="AV275" i="6"/>
  <c r="AV4" i="12"/>
  <c r="AV351" i="6"/>
  <c r="AV352" i="6" s="1"/>
  <c r="AV301" i="6"/>
  <c r="AV302" i="6" s="1"/>
  <c r="AV320" i="6"/>
  <c r="AV140" i="6"/>
  <c r="AV86" i="6"/>
  <c r="AV93" i="6"/>
  <c r="AV40" i="6"/>
  <c r="AW28" i="6"/>
  <c r="AW4" i="4" s="1"/>
  <c r="AV126" i="6"/>
  <c r="AV100" i="6"/>
  <c r="AV46" i="6"/>
  <c r="AV106" i="6"/>
  <c r="AV53" i="6"/>
  <c r="AV23" i="6"/>
  <c r="AV24" i="6" s="1"/>
  <c r="AV3" i="4" s="1"/>
  <c r="AV60" i="6"/>
  <c r="AV66" i="6"/>
  <c r="AV202" i="6"/>
  <c r="AV73" i="6"/>
  <c r="AV80" i="6"/>
  <c r="AV33" i="6"/>
  <c r="AV11" i="6"/>
  <c r="AV12" i="6" s="1"/>
  <c r="AV4" i="6"/>
  <c r="AV35" i="10"/>
  <c r="AU41" i="6"/>
  <c r="AU47" i="6"/>
  <c r="AU34" i="6"/>
  <c r="R8" i="28"/>
  <c r="R19" i="16"/>
  <c r="R21" i="16" s="1"/>
  <c r="R26" i="11"/>
  <c r="R27" i="11" s="1"/>
  <c r="AU94" i="6"/>
  <c r="AU101" i="6"/>
  <c r="AU107" i="6"/>
  <c r="AS141" i="6"/>
  <c r="AS162" i="6"/>
  <c r="AT2" i="40"/>
  <c r="AT2" i="37"/>
  <c r="AT2" i="34"/>
  <c r="AT2" i="31"/>
  <c r="AT2" i="28"/>
  <c r="AT2" i="21"/>
  <c r="AT2" i="22"/>
  <c r="AT60" i="20"/>
  <c r="AT61" i="20" s="1"/>
  <c r="AT67" i="20" s="1"/>
  <c r="AT2" i="18"/>
  <c r="AT2" i="20"/>
  <c r="AT2" i="19"/>
  <c r="AT2" i="16"/>
  <c r="AT2" i="17"/>
  <c r="AT2" i="14"/>
  <c r="AT2" i="15"/>
  <c r="AT2" i="13"/>
  <c r="AT2" i="12"/>
  <c r="AT2" i="11"/>
  <c r="AT319" i="6"/>
  <c r="AT321" i="6" s="1"/>
  <c r="AT313" i="6"/>
  <c r="AT241" i="6"/>
  <c r="AT243" i="6" s="1"/>
  <c r="AT20" i="16" s="1"/>
  <c r="AT182" i="6"/>
  <c r="AT184" i="6" s="1"/>
  <c r="AT189" i="6" s="1"/>
  <c r="AT190" i="6" s="1"/>
  <c r="AT194" i="6" s="1"/>
  <c r="AT176" i="6"/>
  <c r="AT177" i="6" s="1"/>
  <c r="AT2" i="8"/>
  <c r="AT282" i="6"/>
  <c r="AT284" i="6" s="1"/>
  <c r="AT276" i="6" s="1"/>
  <c r="AT277" i="6" s="1"/>
  <c r="AT270" i="6" s="1"/>
  <c r="AT2" i="10"/>
  <c r="AT249" i="6"/>
  <c r="AT251" i="6" s="1"/>
  <c r="AT21" i="18" s="1"/>
  <c r="AT147" i="6"/>
  <c r="AT209" i="6"/>
  <c r="AT72" i="6"/>
  <c r="AT233" i="6"/>
  <c r="AT235" i="6" s="1"/>
  <c r="AT21" i="17" s="1"/>
  <c r="AT2" i="9"/>
  <c r="AT120" i="6"/>
  <c r="AT122" i="6" s="1"/>
  <c r="AT127" i="6" s="1"/>
  <c r="AT128" i="6" s="1"/>
  <c r="AT132" i="6" s="1"/>
  <c r="AT32" i="6"/>
  <c r="AT114" i="6"/>
  <c r="AT115" i="6" s="1"/>
  <c r="AT92" i="6"/>
  <c r="AT2" i="7"/>
  <c r="AT52" i="6"/>
  <c r="AT2" i="6"/>
  <c r="S27" i="10"/>
  <c r="S29" i="10" s="1"/>
  <c r="AU87" i="6"/>
  <c r="AU74" i="6"/>
  <c r="AU81" i="6"/>
  <c r="AS203" i="6"/>
  <c r="AS224" i="6"/>
  <c r="Q34" i="18"/>
  <c r="Q35" i="18" s="1"/>
  <c r="Q13" i="18" s="1"/>
  <c r="Q15" i="18" s="1"/>
  <c r="Q48" i="18"/>
  <c r="Q25" i="34" s="1"/>
  <c r="R10" i="31"/>
  <c r="S41" i="15"/>
  <c r="AT18" i="37"/>
  <c r="AT22" i="13"/>
  <c r="AT30" i="13"/>
  <c r="AT84" i="12"/>
  <c r="AT62" i="12"/>
  <c r="AU314" i="6"/>
  <c r="AS54" i="6"/>
  <c r="AS61" i="6"/>
  <c r="AS67" i="6"/>
  <c r="Q47" i="16"/>
  <c r="Q24" i="34" s="1"/>
  <c r="Q33" i="16"/>
  <c r="Q34" i="16" s="1"/>
  <c r="Q13" i="16" s="1"/>
  <c r="Q15" i="16" s="1"/>
  <c r="AU9" i="37"/>
  <c r="AU17" i="12"/>
  <c r="AU42" i="10"/>
  <c r="AU22" i="10"/>
  <c r="AU59" i="20"/>
  <c r="AU53" i="20"/>
  <c r="AU54" i="20" s="1"/>
  <c r="AU58" i="20" s="1"/>
  <c r="AU242" i="6"/>
  <c r="AU290" i="6"/>
  <c r="AU291" i="6" s="1"/>
  <c r="AU283" i="6"/>
  <c r="AU250" i="6"/>
  <c r="AU234" i="6"/>
  <c r="AU121" i="6"/>
  <c r="AU18" i="6"/>
  <c r="AU19" i="6" s="1"/>
  <c r="AU2" i="4" s="1"/>
  <c r="AU183" i="6"/>
  <c r="AS8" i="37"/>
  <c r="AS16" i="12"/>
  <c r="AS21" i="10"/>
  <c r="AS41" i="10"/>
  <c r="AS43" i="10" s="1"/>
  <c r="AS25" i="14" s="1"/>
  <c r="AS26" i="14" s="1"/>
  <c r="AS34" i="10"/>
  <c r="AU14" i="37"/>
  <c r="AU64" i="12"/>
  <c r="AU72" i="12"/>
  <c r="AU76" i="12"/>
  <c r="AU77" i="12" s="1"/>
  <c r="AR19" i="37"/>
  <c r="AS83" i="12"/>
  <c r="AS85" i="12" s="1"/>
  <c r="AT26" i="31"/>
  <c r="AU11" i="21"/>
  <c r="AU13" i="21" s="1"/>
  <c r="AT29" i="9"/>
  <c r="AU3" i="40"/>
  <c r="AU3" i="37"/>
  <c r="AU3" i="34"/>
  <c r="AU3" i="31"/>
  <c r="AU3" i="28"/>
  <c r="AU3" i="21"/>
  <c r="AU3" i="22"/>
  <c r="AU3" i="20"/>
  <c r="AU3" i="19"/>
  <c r="AU3" i="18"/>
  <c r="AU3" i="17"/>
  <c r="AU3" i="16"/>
  <c r="AU3" i="15"/>
  <c r="AU3" i="14"/>
  <c r="AU3" i="13"/>
  <c r="AU3" i="11"/>
  <c r="AU3" i="10"/>
  <c r="AU3" i="12"/>
  <c r="AU3" i="9"/>
  <c r="AU3" i="7"/>
  <c r="AU3" i="8"/>
  <c r="AU79" i="6"/>
  <c r="AU39" i="6"/>
  <c r="AU99" i="6"/>
  <c r="AU59" i="6"/>
  <c r="AU3" i="6"/>
  <c r="AR49" i="15"/>
  <c r="AR27" i="14"/>
  <c r="AR9" i="28" s="1"/>
  <c r="AR34" i="15"/>
  <c r="AR12" i="14"/>
  <c r="AT40" i="12"/>
  <c r="AT32" i="12"/>
  <c r="AT13" i="10"/>
  <c r="AT14" i="10" s="1"/>
  <c r="Q18" i="31" l="1"/>
  <c r="R11" i="18"/>
  <c r="AU26" i="31"/>
  <c r="AV11" i="21"/>
  <c r="AU29" i="9"/>
  <c r="Q17" i="31"/>
  <c r="R11" i="16"/>
  <c r="AU2" i="40"/>
  <c r="AU2" i="37"/>
  <c r="AU2" i="34"/>
  <c r="AU2" i="31"/>
  <c r="AU2" i="28"/>
  <c r="AU2" i="22"/>
  <c r="AU60" i="20"/>
  <c r="AU2" i="21"/>
  <c r="AU2" i="20"/>
  <c r="AU2" i="18"/>
  <c r="AU2" i="19"/>
  <c r="AU2" i="17"/>
  <c r="AU2" i="16"/>
  <c r="AU2" i="15"/>
  <c r="AU2" i="14"/>
  <c r="AU2" i="13"/>
  <c r="AU2" i="12"/>
  <c r="AU2" i="11"/>
  <c r="AU2" i="10"/>
  <c r="AU319" i="6"/>
  <c r="AU321" i="6" s="1"/>
  <c r="AU313" i="6"/>
  <c r="AU241" i="6"/>
  <c r="AU243" i="6" s="1"/>
  <c r="AU20" i="16" s="1"/>
  <c r="AU182" i="6"/>
  <c r="AU184" i="6" s="1"/>
  <c r="AU189" i="6" s="1"/>
  <c r="AU190" i="6" s="1"/>
  <c r="AU194" i="6" s="1"/>
  <c r="AU176" i="6"/>
  <c r="AU177" i="6" s="1"/>
  <c r="AU2" i="8"/>
  <c r="AU282" i="6"/>
  <c r="AU284" i="6" s="1"/>
  <c r="AU276" i="6" s="1"/>
  <c r="AU277" i="6" s="1"/>
  <c r="AU270" i="6" s="1"/>
  <c r="AU249" i="6"/>
  <c r="AU251" i="6" s="1"/>
  <c r="AU21" i="18" s="1"/>
  <c r="AU2" i="9"/>
  <c r="AU2" i="7"/>
  <c r="AU233" i="6"/>
  <c r="AU235" i="6" s="1"/>
  <c r="AU21" i="17" s="1"/>
  <c r="AU209" i="6"/>
  <c r="AU72" i="6"/>
  <c r="AU120" i="6"/>
  <c r="AU122" i="6" s="1"/>
  <c r="AU127" i="6" s="1"/>
  <c r="AU128" i="6" s="1"/>
  <c r="AU132" i="6" s="1"/>
  <c r="AU32" i="6"/>
  <c r="AU114" i="6"/>
  <c r="AU115" i="6" s="1"/>
  <c r="AU92" i="6"/>
  <c r="AU52" i="6"/>
  <c r="AU147" i="6"/>
  <c r="AU2" i="6"/>
  <c r="R19" i="34"/>
  <c r="R12" i="16"/>
  <c r="R26" i="16"/>
  <c r="T27" i="16" s="1"/>
  <c r="AS19" i="37"/>
  <c r="AT83" i="12"/>
  <c r="AT85" i="12" s="1"/>
  <c r="AU18" i="37"/>
  <c r="AU22" i="13"/>
  <c r="AU30" i="13"/>
  <c r="AU84" i="12"/>
  <c r="AU62" i="12"/>
  <c r="AS49" i="15"/>
  <c r="AS34" i="15"/>
  <c r="AS27" i="14"/>
  <c r="AS9" i="28" s="1"/>
  <c r="AS12" i="14"/>
  <c r="AV47" i="6"/>
  <c r="AV34" i="6"/>
  <c r="AV41" i="6"/>
  <c r="AT224" i="6"/>
  <c r="AT203" i="6"/>
  <c r="AV9" i="37"/>
  <c r="AV17" i="12"/>
  <c r="AV22" i="10"/>
  <c r="AV42" i="10"/>
  <c r="AV94" i="6"/>
  <c r="AV101" i="6"/>
  <c r="AV107" i="6"/>
  <c r="AW4" i="40"/>
  <c r="AW4" i="37"/>
  <c r="AW4" i="34"/>
  <c r="AW4" i="31"/>
  <c r="AW4" i="28"/>
  <c r="AW4" i="22"/>
  <c r="AW10" i="21"/>
  <c r="AW4" i="21"/>
  <c r="AW32" i="20"/>
  <c r="AW74" i="20"/>
  <c r="AW4" i="20"/>
  <c r="AW28" i="19"/>
  <c r="AW10" i="18"/>
  <c r="AW4" i="19"/>
  <c r="AW10" i="17"/>
  <c r="AW4" i="18"/>
  <c r="AW10" i="16"/>
  <c r="AW4" i="17"/>
  <c r="AW4" i="16"/>
  <c r="AW40" i="15"/>
  <c r="AW4" i="14"/>
  <c r="AW4" i="15"/>
  <c r="AW27" i="15"/>
  <c r="AW19" i="13"/>
  <c r="AW4" i="13"/>
  <c r="AW27" i="13"/>
  <c r="AW82" i="12"/>
  <c r="AW46" i="12"/>
  <c r="AW69" i="12"/>
  <c r="AW59" i="12"/>
  <c r="AW4" i="12"/>
  <c r="AW18" i="12"/>
  <c r="AW23" i="11"/>
  <c r="AW4" i="11"/>
  <c r="AW19" i="10"/>
  <c r="AW12" i="10"/>
  <c r="AW4" i="10"/>
  <c r="AW35" i="9"/>
  <c r="AW4" i="8"/>
  <c r="AW331" i="6"/>
  <c r="AW332" i="6" s="1"/>
  <c r="AW4" i="7"/>
  <c r="AW346" i="6"/>
  <c r="AW347" i="6" s="1"/>
  <c r="AW296" i="6"/>
  <c r="AW297" i="6" s="1"/>
  <c r="AW259" i="6"/>
  <c r="AW4" i="9"/>
  <c r="AW336" i="6"/>
  <c r="AW337" i="6" s="1"/>
  <c r="AW275" i="6"/>
  <c r="AW351" i="6"/>
  <c r="AW352" i="6" s="1"/>
  <c r="AW301" i="6"/>
  <c r="AW302" i="6" s="1"/>
  <c r="AW320" i="6"/>
  <c r="AW10" i="9"/>
  <c r="AW202" i="6"/>
  <c r="AW93" i="6"/>
  <c r="AW126" i="6"/>
  <c r="AW100" i="6"/>
  <c r="AW46" i="6"/>
  <c r="AW106" i="6"/>
  <c r="AW53" i="6"/>
  <c r="AW23" i="6"/>
  <c r="AW24" i="6" s="1"/>
  <c r="AW3" i="4" s="1"/>
  <c r="AW60" i="6"/>
  <c r="AW66" i="6"/>
  <c r="AW312" i="6"/>
  <c r="AW73" i="6"/>
  <c r="AW80" i="6"/>
  <c r="AW86" i="6"/>
  <c r="AX28" i="6"/>
  <c r="AX4" i="4" s="1"/>
  <c r="AW33" i="6"/>
  <c r="AW11" i="6"/>
  <c r="AW12" i="6" s="1"/>
  <c r="AW4" i="6"/>
  <c r="AW40" i="6"/>
  <c r="AW140" i="6"/>
  <c r="AW188" i="6"/>
  <c r="AW35" i="10"/>
  <c r="AV314" i="6"/>
  <c r="AU40" i="12"/>
  <c r="AU32" i="12"/>
  <c r="AU13" i="10"/>
  <c r="AU14" i="10" s="1"/>
  <c r="AV59" i="20"/>
  <c r="AV53" i="20"/>
  <c r="AV54" i="20" s="1"/>
  <c r="AV58" i="20" s="1"/>
  <c r="AV290" i="6"/>
  <c r="AV291" i="6" s="1"/>
  <c r="AV283" i="6"/>
  <c r="AV250" i="6"/>
  <c r="AV234" i="6"/>
  <c r="AV121" i="6"/>
  <c r="AV183" i="6"/>
  <c r="AV242" i="6"/>
  <c r="AV18" i="6"/>
  <c r="AV19" i="6" s="1"/>
  <c r="AV2" i="4" s="1"/>
  <c r="AV3" i="40"/>
  <c r="AV3" i="37"/>
  <c r="AV3" i="34"/>
  <c r="AV3" i="31"/>
  <c r="AV3" i="28"/>
  <c r="AV3" i="22"/>
  <c r="AV3" i="21"/>
  <c r="AV3" i="20"/>
  <c r="AV3" i="19"/>
  <c r="AV3" i="18"/>
  <c r="AV3" i="17"/>
  <c r="AV3" i="16"/>
  <c r="AV3" i="14"/>
  <c r="AV3" i="15"/>
  <c r="AV3" i="13"/>
  <c r="AV3" i="10"/>
  <c r="AV3" i="9"/>
  <c r="AV3" i="12"/>
  <c r="AV3" i="7"/>
  <c r="AV3" i="11"/>
  <c r="AV3" i="8"/>
  <c r="AV79" i="6"/>
  <c r="AV39" i="6"/>
  <c r="AV99" i="6"/>
  <c r="AV59" i="6"/>
  <c r="AV3" i="6"/>
  <c r="AV74" i="6"/>
  <c r="AV81" i="6"/>
  <c r="AV87" i="6"/>
  <c r="AV13" i="21"/>
  <c r="S53" i="12"/>
  <c r="S54" i="12" s="1"/>
  <c r="S11" i="11"/>
  <c r="S12" i="11" s="1"/>
  <c r="S23" i="10"/>
  <c r="S24" i="10" s="1"/>
  <c r="AT141" i="6"/>
  <c r="AT162" i="6"/>
  <c r="AT54" i="6"/>
  <c r="AT61" i="6"/>
  <c r="AT67" i="6"/>
  <c r="AV14" i="37"/>
  <c r="AV64" i="12"/>
  <c r="AV72" i="12"/>
  <c r="AV76" i="12"/>
  <c r="AV77" i="12" s="1"/>
  <c r="R40" i="17"/>
  <c r="R41" i="17" s="1"/>
  <c r="AT8" i="37"/>
  <c r="AT21" i="10"/>
  <c r="AT16" i="12"/>
  <c r="AT41" i="10"/>
  <c r="AT43" i="10" s="1"/>
  <c r="AT25" i="14" s="1"/>
  <c r="AT26" i="14" s="1"/>
  <c r="AT34" i="10"/>
  <c r="AU61" i="20"/>
  <c r="AU67" i="20" s="1"/>
  <c r="R14" i="31"/>
  <c r="S24" i="11"/>
  <c r="AW47" i="6" l="1"/>
  <c r="AW34" i="6"/>
  <c r="AW41" i="6"/>
  <c r="S16" i="19"/>
  <c r="S17" i="19" s="1"/>
  <c r="S42" i="15"/>
  <c r="S20" i="15"/>
  <c r="S25" i="11"/>
  <c r="AW101" i="6"/>
  <c r="AW107" i="6"/>
  <c r="AW94" i="6"/>
  <c r="AW14" i="37"/>
  <c r="AW72" i="12"/>
  <c r="AW76" i="12"/>
  <c r="AW77" i="12" s="1"/>
  <c r="AW64" i="12"/>
  <c r="AU54" i="6"/>
  <c r="AU61" i="6"/>
  <c r="AU67" i="6"/>
  <c r="AU162" i="6"/>
  <c r="AU141" i="6"/>
  <c r="AV2" i="40"/>
  <c r="AV2" i="37"/>
  <c r="AV2" i="34"/>
  <c r="AV2" i="31"/>
  <c r="AV2" i="28"/>
  <c r="AV2" i="22"/>
  <c r="AV2" i="21"/>
  <c r="AV60" i="20"/>
  <c r="AV2" i="20"/>
  <c r="AV2" i="18"/>
  <c r="AV2" i="19"/>
  <c r="AV2" i="17"/>
  <c r="AV2" i="16"/>
  <c r="AV2" i="15"/>
  <c r="AV2" i="14"/>
  <c r="AV2" i="13"/>
  <c r="AV2" i="12"/>
  <c r="AV2" i="11"/>
  <c r="AV2" i="10"/>
  <c r="AV2" i="9"/>
  <c r="AV241" i="6"/>
  <c r="AV243" i="6" s="1"/>
  <c r="AV20" i="16" s="1"/>
  <c r="AV176" i="6"/>
  <c r="AV177" i="6" s="1"/>
  <c r="AV2" i="8"/>
  <c r="AV282" i="6"/>
  <c r="AV284" i="6" s="1"/>
  <c r="AV276" i="6" s="1"/>
  <c r="AV277" i="6" s="1"/>
  <c r="AV270" i="6" s="1"/>
  <c r="AV249" i="6"/>
  <c r="AV251" i="6" s="1"/>
  <c r="AV21" i="18" s="1"/>
  <c r="AV2" i="7"/>
  <c r="AV233" i="6"/>
  <c r="AV235" i="6" s="1"/>
  <c r="AV21" i="17" s="1"/>
  <c r="AV209" i="6"/>
  <c r="AV313" i="6"/>
  <c r="AW314" i="6" s="1"/>
  <c r="AV120" i="6"/>
  <c r="AV122" i="6" s="1"/>
  <c r="AV127" i="6" s="1"/>
  <c r="AV128" i="6" s="1"/>
  <c r="AV132" i="6" s="1"/>
  <c r="AV32" i="6"/>
  <c r="AV319" i="6"/>
  <c r="AV321" i="6" s="1"/>
  <c r="AV114" i="6"/>
  <c r="AV115" i="6" s="1"/>
  <c r="AV92" i="6"/>
  <c r="AV52" i="6"/>
  <c r="AV182" i="6"/>
  <c r="AV184" i="6" s="1"/>
  <c r="AV189" i="6" s="1"/>
  <c r="AV190" i="6" s="1"/>
  <c r="AV194" i="6" s="1"/>
  <c r="AV147" i="6"/>
  <c r="AV72" i="6"/>
  <c r="AV2" i="6"/>
  <c r="AT49" i="15"/>
  <c r="AT27" i="14"/>
  <c r="AT9" i="28" s="1"/>
  <c r="AT34" i="15"/>
  <c r="AT12" i="14"/>
  <c r="AU8" i="37"/>
  <c r="AU16" i="12"/>
  <c r="AU41" i="10"/>
  <c r="AU43" i="10" s="1"/>
  <c r="AU25" i="14" s="1"/>
  <c r="AU26" i="14" s="1"/>
  <c r="AU34" i="10"/>
  <c r="AU21" i="10"/>
  <c r="AW74" i="6"/>
  <c r="AW81" i="6"/>
  <c r="AW87" i="6"/>
  <c r="AW59" i="20"/>
  <c r="AW53" i="20"/>
  <c r="AW54" i="20" s="1"/>
  <c r="AW58" i="20" s="1"/>
  <c r="AW283" i="6"/>
  <c r="AW250" i="6"/>
  <c r="AW234" i="6"/>
  <c r="AW242" i="6"/>
  <c r="AW183" i="6"/>
  <c r="AW290" i="6"/>
  <c r="AW291" i="6" s="1"/>
  <c r="AW18" i="6"/>
  <c r="AW19" i="6" s="1"/>
  <c r="AW2" i="4" s="1"/>
  <c r="AW121" i="6"/>
  <c r="AT19" i="37"/>
  <c r="AU83" i="12"/>
  <c r="AU85" i="12" s="1"/>
  <c r="AV61" i="20"/>
  <c r="AV67" i="20" s="1"/>
  <c r="S16" i="37"/>
  <c r="S63" i="12"/>
  <c r="S65" i="12" s="1"/>
  <c r="S71" i="12"/>
  <c r="S73" i="12" s="1"/>
  <c r="T14" i="16"/>
  <c r="T28" i="16"/>
  <c r="T20" i="34" s="1"/>
  <c r="AU224" i="6"/>
  <c r="AU203" i="6"/>
  <c r="R39" i="16"/>
  <c r="R40" i="16" s="1"/>
  <c r="AV18" i="37"/>
  <c r="AV22" i="13"/>
  <c r="AV30" i="13"/>
  <c r="AV84" i="12"/>
  <c r="AV62" i="12"/>
  <c r="AX4" i="40"/>
  <c r="AX4" i="37"/>
  <c r="AX4" i="34"/>
  <c r="AX4" i="31"/>
  <c r="AX4" i="28"/>
  <c r="AX4" i="22"/>
  <c r="AX10" i="21"/>
  <c r="AX4" i="21"/>
  <c r="AX32" i="20"/>
  <c r="AX74" i="20"/>
  <c r="AX4" i="20"/>
  <c r="AX28" i="19"/>
  <c r="AX10" i="18"/>
  <c r="AX4" i="19"/>
  <c r="AX4" i="18"/>
  <c r="AX4" i="17"/>
  <c r="AX10" i="17"/>
  <c r="AX4" i="16"/>
  <c r="AX27" i="15"/>
  <c r="AX10" i="16"/>
  <c r="AX4" i="15"/>
  <c r="AX27" i="13"/>
  <c r="AX82" i="12"/>
  <c r="AX4" i="14"/>
  <c r="AX40" i="15"/>
  <c r="AX69" i="12"/>
  <c r="AX19" i="13"/>
  <c r="AX59" i="12"/>
  <c r="AX4" i="13"/>
  <c r="AX18" i="12"/>
  <c r="AX46" i="12"/>
  <c r="AX23" i="11"/>
  <c r="AX4" i="11"/>
  <c r="AX19" i="10"/>
  <c r="AX12" i="10"/>
  <c r="AX4" i="10"/>
  <c r="AX4" i="12"/>
  <c r="AX35" i="9"/>
  <c r="AX4" i="7"/>
  <c r="AX346" i="6"/>
  <c r="AX347" i="6" s="1"/>
  <c r="AX296" i="6"/>
  <c r="AX297" i="6" s="1"/>
  <c r="AX259" i="6"/>
  <c r="AX4" i="9"/>
  <c r="AX336" i="6"/>
  <c r="AX337" i="6" s="1"/>
  <c r="AX275" i="6"/>
  <c r="AX351" i="6"/>
  <c r="AX352" i="6" s="1"/>
  <c r="AX301" i="6"/>
  <c r="AX302" i="6" s="1"/>
  <c r="AX320" i="6"/>
  <c r="AX10" i="9"/>
  <c r="AX312" i="6"/>
  <c r="AX126" i="6"/>
  <c r="AX100" i="6"/>
  <c r="AX46" i="6"/>
  <c r="AX106" i="6"/>
  <c r="AX53" i="6"/>
  <c r="AX23" i="6"/>
  <c r="AX24" i="6" s="1"/>
  <c r="AX3" i="4" s="1"/>
  <c r="AX331" i="6"/>
  <c r="AX332" i="6" s="1"/>
  <c r="AX60" i="6"/>
  <c r="AX66" i="6"/>
  <c r="AX4" i="8"/>
  <c r="AX73" i="6"/>
  <c r="AX202" i="6"/>
  <c r="AX80" i="6"/>
  <c r="AX188" i="6"/>
  <c r="AX140" i="6"/>
  <c r="AX86" i="6"/>
  <c r="AX33" i="6"/>
  <c r="AY28" i="6"/>
  <c r="AY4" i="4" s="1"/>
  <c r="AX11" i="6"/>
  <c r="AX12" i="6" s="1"/>
  <c r="AX4" i="6"/>
  <c r="AX40" i="6"/>
  <c r="AX93" i="6"/>
  <c r="AX35" i="10"/>
  <c r="AW3" i="40"/>
  <c r="AW3" i="37"/>
  <c r="AW3" i="34"/>
  <c r="AW3" i="31"/>
  <c r="AW3" i="22"/>
  <c r="AW3" i="21"/>
  <c r="AW3" i="28"/>
  <c r="AW3" i="20"/>
  <c r="AW3" i="19"/>
  <c r="AW3" i="18"/>
  <c r="AW3" i="17"/>
  <c r="AW3" i="16"/>
  <c r="AW3" i="15"/>
  <c r="AW3" i="14"/>
  <c r="AW3" i="13"/>
  <c r="AW3" i="10"/>
  <c r="AW3" i="8"/>
  <c r="AW3" i="12"/>
  <c r="AW3" i="11"/>
  <c r="AW3" i="9"/>
  <c r="AW3" i="7"/>
  <c r="AW39" i="6"/>
  <c r="AW99" i="6"/>
  <c r="AW3" i="6"/>
  <c r="AW59" i="6"/>
  <c r="AW79" i="6"/>
  <c r="R27" i="18"/>
  <c r="R28" i="18" s="1"/>
  <c r="R40" i="18"/>
  <c r="R41" i="18" s="1"/>
  <c r="R42" i="17"/>
  <c r="R16" i="28" s="1"/>
  <c r="R46" i="17"/>
  <c r="R47" i="17" s="1"/>
  <c r="R33" i="17"/>
  <c r="S10" i="37"/>
  <c r="S24" i="12"/>
  <c r="S26" i="12" s="1"/>
  <c r="S31" i="12" s="1"/>
  <c r="T20" i="10"/>
  <c r="AV26" i="31"/>
  <c r="AW11" i="21"/>
  <c r="AW13" i="21" s="1"/>
  <c r="AV29" i="9"/>
  <c r="AV40" i="12"/>
  <c r="AV32" i="12"/>
  <c r="AV13" i="10"/>
  <c r="AV14" i="10" s="1"/>
  <c r="AW9" i="37"/>
  <c r="AW22" i="10"/>
  <c r="AW42" i="10"/>
  <c r="AW17" i="12"/>
  <c r="AW26" i="31" l="1"/>
  <c r="AX11" i="21"/>
  <c r="AW29" i="9"/>
  <c r="AX53" i="20"/>
  <c r="AX54" i="20" s="1"/>
  <c r="AX58" i="20" s="1"/>
  <c r="AX59" i="20"/>
  <c r="AX250" i="6"/>
  <c r="AX234" i="6"/>
  <c r="AX242" i="6"/>
  <c r="AX290" i="6"/>
  <c r="AX291" i="6" s="1"/>
  <c r="AX183" i="6"/>
  <c r="AX283" i="6"/>
  <c r="AX121" i="6"/>
  <c r="AX18" i="6"/>
  <c r="AX19" i="6" s="1"/>
  <c r="AX2" i="4" s="1"/>
  <c r="AX3" i="40"/>
  <c r="AX3" i="37"/>
  <c r="AX3" i="34"/>
  <c r="AX3" i="31"/>
  <c r="AX3" i="28"/>
  <c r="AX3" i="21"/>
  <c r="AX3" i="22"/>
  <c r="AX3" i="18"/>
  <c r="AX3" i="20"/>
  <c r="AX3" i="19"/>
  <c r="AX3" i="17"/>
  <c r="AX3" i="16"/>
  <c r="AX3" i="14"/>
  <c r="AX3" i="13"/>
  <c r="AX3" i="12"/>
  <c r="AX3" i="15"/>
  <c r="AX3" i="11"/>
  <c r="AX3" i="8"/>
  <c r="AX3" i="10"/>
  <c r="AX99" i="6"/>
  <c r="AX59" i="6"/>
  <c r="AX3" i="9"/>
  <c r="AX3" i="7"/>
  <c r="AX79" i="6"/>
  <c r="AX39" i="6"/>
  <c r="AX3" i="6"/>
  <c r="S15" i="37"/>
  <c r="T60" i="12"/>
  <c r="AU49" i="15"/>
  <c r="AU34" i="15"/>
  <c r="AU12" i="14"/>
  <c r="AU27" i="14"/>
  <c r="AU9" i="28" s="1"/>
  <c r="R46" i="18"/>
  <c r="R47" i="18" s="1"/>
  <c r="R42" i="18"/>
  <c r="R18" i="28" s="1"/>
  <c r="R33" i="18"/>
  <c r="AX41" i="6"/>
  <c r="AX34" i="6"/>
  <c r="AX47" i="6"/>
  <c r="AX14" i="37"/>
  <c r="AX76" i="12"/>
  <c r="AX77" i="12" s="1"/>
  <c r="AX72" i="12"/>
  <c r="AX64" i="12"/>
  <c r="R29" i="18"/>
  <c r="R22" i="34" s="1"/>
  <c r="R14" i="18"/>
  <c r="AY4" i="40"/>
  <c r="AY4" i="37"/>
  <c r="AY4" i="34"/>
  <c r="AY4" i="31"/>
  <c r="AY4" i="28"/>
  <c r="AY74" i="20"/>
  <c r="AY4" i="21"/>
  <c r="AY4" i="22"/>
  <c r="AY10" i="21"/>
  <c r="AY32" i="20"/>
  <c r="AY28" i="19"/>
  <c r="AY10" i="18"/>
  <c r="AY4" i="20"/>
  <c r="AY4" i="19"/>
  <c r="AY4" i="18"/>
  <c r="AY4" i="17"/>
  <c r="AY10" i="17"/>
  <c r="AY4" i="16"/>
  <c r="AY10" i="16"/>
  <c r="AY4" i="15"/>
  <c r="AY27" i="15"/>
  <c r="AY40" i="15"/>
  <c r="AY4" i="14"/>
  <c r="AY69" i="12"/>
  <c r="AY59" i="12"/>
  <c r="AY4" i="13"/>
  <c r="AY18" i="12"/>
  <c r="AY27" i="13"/>
  <c r="AY46" i="12"/>
  <c r="AY19" i="13"/>
  <c r="AY82" i="12"/>
  <c r="AY4" i="11"/>
  <c r="AY19" i="10"/>
  <c r="AY12" i="10"/>
  <c r="AY4" i="10"/>
  <c r="AY4" i="12"/>
  <c r="AY259" i="6"/>
  <c r="AY4" i="9"/>
  <c r="AY336" i="6"/>
  <c r="AY337" i="6" s="1"/>
  <c r="AY275" i="6"/>
  <c r="AY351" i="6"/>
  <c r="AY352" i="6" s="1"/>
  <c r="AY301" i="6"/>
  <c r="AY302" i="6" s="1"/>
  <c r="AY320" i="6"/>
  <c r="AY10" i="9"/>
  <c r="AY312" i="6"/>
  <c r="AY4" i="8"/>
  <c r="AY331" i="6"/>
  <c r="AY332" i="6" s="1"/>
  <c r="AY188" i="6"/>
  <c r="AY106" i="6"/>
  <c r="AY53" i="6"/>
  <c r="AY60" i="6"/>
  <c r="AY23" i="11"/>
  <c r="AY66" i="6"/>
  <c r="AY296" i="6"/>
  <c r="AY297" i="6" s="1"/>
  <c r="AY73" i="6"/>
  <c r="AY202" i="6"/>
  <c r="AY80" i="6"/>
  <c r="AY35" i="9"/>
  <c r="AY140" i="6"/>
  <c r="AY86" i="6"/>
  <c r="AY346" i="6"/>
  <c r="AY347" i="6" s="1"/>
  <c r="AY93" i="6"/>
  <c r="AY40" i="6"/>
  <c r="AZ28" i="6"/>
  <c r="AZ4" i="4" s="1"/>
  <c r="AY100" i="6"/>
  <c r="AY4" i="7"/>
  <c r="AY46" i="6"/>
  <c r="AY126" i="6"/>
  <c r="AY11" i="6"/>
  <c r="AY12" i="6" s="1"/>
  <c r="AY4" i="6"/>
  <c r="AY33" i="6"/>
  <c r="AY23" i="6"/>
  <c r="AY24" i="6" s="1"/>
  <c r="AY3" i="4" s="1"/>
  <c r="AY35" i="10"/>
  <c r="AW2" i="40"/>
  <c r="AW2" i="37"/>
  <c r="AW2" i="34"/>
  <c r="AW2" i="31"/>
  <c r="AW2" i="28"/>
  <c r="AW2" i="22"/>
  <c r="AW2" i="21"/>
  <c r="AW60" i="20"/>
  <c r="AW61" i="20" s="1"/>
  <c r="AW67" i="20" s="1"/>
  <c r="AW2" i="20"/>
  <c r="AW2" i="19"/>
  <c r="AW2" i="18"/>
  <c r="AW2" i="16"/>
  <c r="AW2" i="17"/>
  <c r="AW2" i="14"/>
  <c r="AW2" i="15"/>
  <c r="AW2" i="13"/>
  <c r="AW2" i="12"/>
  <c r="AW2" i="11"/>
  <c r="AW2" i="10"/>
  <c r="AW2" i="8"/>
  <c r="AW282" i="6"/>
  <c r="AW284" i="6" s="1"/>
  <c r="AW276" i="6" s="1"/>
  <c r="AW277" i="6" s="1"/>
  <c r="AW270" i="6" s="1"/>
  <c r="AW249" i="6"/>
  <c r="AW251" i="6" s="1"/>
  <c r="AW21" i="18" s="1"/>
  <c r="AW2" i="7"/>
  <c r="AW233" i="6"/>
  <c r="AW235" i="6" s="1"/>
  <c r="AW21" i="17" s="1"/>
  <c r="AW2" i="9"/>
  <c r="AW319" i="6"/>
  <c r="AW321" i="6" s="1"/>
  <c r="AW313" i="6"/>
  <c r="AW120" i="6"/>
  <c r="AW122" i="6" s="1"/>
  <c r="AW127" i="6" s="1"/>
  <c r="AW128" i="6" s="1"/>
  <c r="AW132" i="6" s="1"/>
  <c r="AW114" i="6"/>
  <c r="AW115" i="6" s="1"/>
  <c r="AW92" i="6"/>
  <c r="AW176" i="6"/>
  <c r="AW177" i="6" s="1"/>
  <c r="AW52" i="6"/>
  <c r="AW182" i="6"/>
  <c r="AW184" i="6" s="1"/>
  <c r="AW189" i="6" s="1"/>
  <c r="AW190" i="6" s="1"/>
  <c r="AW194" i="6" s="1"/>
  <c r="AW147" i="6"/>
  <c r="AW241" i="6"/>
  <c r="AW243" i="6" s="1"/>
  <c r="AW20" i="16" s="1"/>
  <c r="AW72" i="6"/>
  <c r="AW32" i="6"/>
  <c r="AW209" i="6"/>
  <c r="AW2" i="6"/>
  <c r="AV162" i="6"/>
  <c r="AV141" i="6"/>
  <c r="S21" i="19"/>
  <c r="S43" i="15"/>
  <c r="S45" i="15" s="1"/>
  <c r="S21" i="15"/>
  <c r="U22" i="15" s="1"/>
  <c r="T28" i="10"/>
  <c r="AV8" i="37"/>
  <c r="AV16" i="12"/>
  <c r="AV41" i="10"/>
  <c r="AV43" i="10" s="1"/>
  <c r="AV25" i="14" s="1"/>
  <c r="AV26" i="14" s="1"/>
  <c r="AV34" i="10"/>
  <c r="AV21" i="10"/>
  <c r="AX74" i="6"/>
  <c r="AX81" i="6"/>
  <c r="AX87" i="6"/>
  <c r="AU19" i="37"/>
  <c r="AV83" i="12"/>
  <c r="AV85" i="12" s="1"/>
  <c r="AW40" i="12"/>
  <c r="AW32" i="12"/>
  <c r="AW13" i="10"/>
  <c r="AW14" i="10" s="1"/>
  <c r="AV54" i="6"/>
  <c r="AV61" i="6"/>
  <c r="AV67" i="6"/>
  <c r="AX13" i="21"/>
  <c r="AX9" i="37"/>
  <c r="AX22" i="10"/>
  <c r="AX42" i="10"/>
  <c r="AX17" i="12"/>
  <c r="AX314" i="6"/>
  <c r="AV224" i="6"/>
  <c r="AV203" i="6"/>
  <c r="AX107" i="6"/>
  <c r="AX94" i="6"/>
  <c r="AX101" i="6"/>
  <c r="R48" i="17"/>
  <c r="R23" i="34" s="1"/>
  <c r="R34" i="17"/>
  <c r="R35" i="17" s="1"/>
  <c r="R13" i="17" s="1"/>
  <c r="R15" i="17" s="1"/>
  <c r="R45" i="16"/>
  <c r="R46" i="16" s="1"/>
  <c r="R32" i="16"/>
  <c r="R41" i="16"/>
  <c r="R17" i="28" s="1"/>
  <c r="S17" i="37"/>
  <c r="T70" i="12"/>
  <c r="S17" i="11"/>
  <c r="S18" i="11" s="1"/>
  <c r="AW18" i="37"/>
  <c r="AW62" i="12"/>
  <c r="AW22" i="13"/>
  <c r="AW30" i="13"/>
  <c r="AW84" i="12"/>
  <c r="S10" i="31" l="1"/>
  <c r="T41" i="15"/>
  <c r="R16" i="31"/>
  <c r="S11" i="17"/>
  <c r="U8" i="34"/>
  <c r="U44" i="15"/>
  <c r="AY14" i="37"/>
  <c r="AY76" i="12"/>
  <c r="AY77" i="12" s="1"/>
  <c r="AY64" i="12"/>
  <c r="AY72" i="12"/>
  <c r="AV19" i="37"/>
  <c r="AW83" i="12"/>
  <c r="AW85" i="12" s="1"/>
  <c r="AY9" i="37"/>
  <c r="AY17" i="12"/>
  <c r="AY22" i="10"/>
  <c r="AY42" i="10"/>
  <c r="AY47" i="6"/>
  <c r="AY41" i="6"/>
  <c r="AY34" i="6"/>
  <c r="AX40" i="12"/>
  <c r="AX32" i="12"/>
  <c r="AX13" i="10"/>
  <c r="AX14" i="10" s="1"/>
  <c r="R47" i="16"/>
  <c r="R24" i="34" s="1"/>
  <c r="R33" i="16"/>
  <c r="R34" i="16" s="1"/>
  <c r="R13" i="16" s="1"/>
  <c r="R15" i="16" s="1"/>
  <c r="AW54" i="6"/>
  <c r="AW61" i="6"/>
  <c r="AW67" i="6"/>
  <c r="AY3" i="40"/>
  <c r="AY3" i="37"/>
  <c r="AY3" i="34"/>
  <c r="AY3" i="31"/>
  <c r="AY3" i="28"/>
  <c r="AY3" i="22"/>
  <c r="AY3" i="21"/>
  <c r="AY3" i="20"/>
  <c r="AY3" i="18"/>
  <c r="AY3" i="19"/>
  <c r="AY3" i="17"/>
  <c r="AY3" i="16"/>
  <c r="AY3" i="14"/>
  <c r="AY3" i="15"/>
  <c r="AY3" i="13"/>
  <c r="AY3" i="12"/>
  <c r="AY3" i="11"/>
  <c r="AY3" i="10"/>
  <c r="AY3" i="8"/>
  <c r="AY3" i="9"/>
  <c r="AY3" i="7"/>
  <c r="AY99" i="6"/>
  <c r="AY59" i="6"/>
  <c r="AY79" i="6"/>
  <c r="AY3" i="6"/>
  <c r="AY39" i="6"/>
  <c r="AY94" i="6"/>
  <c r="AY101" i="6"/>
  <c r="AY107" i="6"/>
  <c r="AV27" i="14"/>
  <c r="AV9" i="28" s="1"/>
  <c r="AV49" i="15"/>
  <c r="AV34" i="15"/>
  <c r="AV12" i="14"/>
  <c r="AZ4" i="40"/>
  <c r="AZ4" i="37"/>
  <c r="AZ4" i="34"/>
  <c r="AZ4" i="31"/>
  <c r="AZ4" i="28"/>
  <c r="AZ4" i="22"/>
  <c r="AZ10" i="21"/>
  <c r="AZ74" i="20"/>
  <c r="AZ32" i="20"/>
  <c r="AZ4" i="21"/>
  <c r="AZ28" i="19"/>
  <c r="AZ4" i="20"/>
  <c r="AZ4" i="19"/>
  <c r="AZ4" i="18"/>
  <c r="AZ4" i="17"/>
  <c r="AZ10" i="17"/>
  <c r="AZ10" i="18"/>
  <c r="AZ10" i="16"/>
  <c r="AZ4" i="16"/>
  <c r="AZ27" i="15"/>
  <c r="AZ40" i="15"/>
  <c r="AZ4" i="14"/>
  <c r="AZ4" i="15"/>
  <c r="AZ19" i="13"/>
  <c r="AZ4" i="13"/>
  <c r="AZ69" i="12"/>
  <c r="AZ59" i="12"/>
  <c r="AZ82" i="12"/>
  <c r="AZ12" i="10"/>
  <c r="AZ4" i="10"/>
  <c r="AZ4" i="9"/>
  <c r="AZ4" i="7"/>
  <c r="AZ27" i="13"/>
  <c r="AZ35" i="9"/>
  <c r="AZ46" i="12"/>
  <c r="AZ4" i="12"/>
  <c r="AZ10" i="9"/>
  <c r="AZ23" i="11"/>
  <c r="AZ336" i="6"/>
  <c r="AZ337" i="6" s="1"/>
  <c r="AZ275" i="6"/>
  <c r="AZ351" i="6"/>
  <c r="AZ352" i="6" s="1"/>
  <c r="AZ301" i="6"/>
  <c r="AZ302" i="6" s="1"/>
  <c r="AZ320" i="6"/>
  <c r="AZ4" i="11"/>
  <c r="AZ202" i="6"/>
  <c r="AZ19" i="10"/>
  <c r="AZ312" i="6"/>
  <c r="AZ18" i="12"/>
  <c r="AZ4" i="8"/>
  <c r="AZ331" i="6"/>
  <c r="AZ332" i="6" s="1"/>
  <c r="AZ346" i="6"/>
  <c r="AZ347" i="6" s="1"/>
  <c r="AZ296" i="6"/>
  <c r="AZ297" i="6" s="1"/>
  <c r="AZ60" i="6"/>
  <c r="AZ66" i="6"/>
  <c r="AZ259" i="6"/>
  <c r="AZ73" i="6"/>
  <c r="AZ80" i="6"/>
  <c r="AZ140" i="6"/>
  <c r="AZ86" i="6"/>
  <c r="AZ188" i="6"/>
  <c r="AZ93" i="6"/>
  <c r="AZ126" i="6"/>
  <c r="AZ100" i="6"/>
  <c r="AZ46" i="6"/>
  <c r="BA28" i="6"/>
  <c r="BA4" i="4" s="1"/>
  <c r="AZ11" i="6"/>
  <c r="AZ12" i="6" s="1"/>
  <c r="AZ4" i="6"/>
  <c r="AZ33" i="6"/>
  <c r="AZ40" i="6"/>
  <c r="AZ106" i="6"/>
  <c r="AZ53" i="6"/>
  <c r="AZ23" i="6"/>
  <c r="AZ24" i="6" s="1"/>
  <c r="AZ3" i="4" s="1"/>
  <c r="AZ35" i="10"/>
  <c r="AX18" i="37"/>
  <c r="AX62" i="12"/>
  <c r="AX22" i="13"/>
  <c r="AX30" i="13"/>
  <c r="AX84" i="12"/>
  <c r="R48" i="18"/>
  <c r="R25" i="34" s="1"/>
  <c r="R34" i="18"/>
  <c r="R35" i="18" s="1"/>
  <c r="R13" i="18" s="1"/>
  <c r="R15" i="18" s="1"/>
  <c r="AX26" i="31"/>
  <c r="AY11" i="21"/>
  <c r="AX29" i="9"/>
  <c r="AY74" i="6"/>
  <c r="AY81" i="6"/>
  <c r="AY87" i="6"/>
  <c r="T27" i="10"/>
  <c r="T29" i="10" s="1"/>
  <c r="AW203" i="6"/>
  <c r="AW224" i="6"/>
  <c r="AY53" i="20"/>
  <c r="AY54" i="20" s="1"/>
  <c r="AY58" i="20" s="1"/>
  <c r="AY59" i="20"/>
  <c r="AY234" i="6"/>
  <c r="AY242" i="6"/>
  <c r="AY290" i="6"/>
  <c r="AY291" i="6" s="1"/>
  <c r="AY283" i="6"/>
  <c r="AY250" i="6"/>
  <c r="AY121" i="6"/>
  <c r="AY18" i="6"/>
  <c r="AY19" i="6" s="1"/>
  <c r="AY2" i="4" s="1"/>
  <c r="AY183" i="6"/>
  <c r="AX2" i="40"/>
  <c r="AX2" i="37"/>
  <c r="AX2" i="34"/>
  <c r="AX2" i="31"/>
  <c r="AX2" i="28"/>
  <c r="AX2" i="22"/>
  <c r="AX2" i="21"/>
  <c r="AX2" i="20"/>
  <c r="AX2" i="19"/>
  <c r="AX60" i="20"/>
  <c r="AX2" i="17"/>
  <c r="AX2" i="18"/>
  <c r="AX2" i="16"/>
  <c r="AX2" i="14"/>
  <c r="AX2" i="15"/>
  <c r="AX2" i="13"/>
  <c r="AX2" i="12"/>
  <c r="AX2" i="11"/>
  <c r="AX2" i="10"/>
  <c r="AX282" i="6"/>
  <c r="AX284" i="6" s="1"/>
  <c r="AX276" i="6" s="1"/>
  <c r="AX277" i="6" s="1"/>
  <c r="AX270" i="6" s="1"/>
  <c r="AX2" i="8"/>
  <c r="AX249" i="6"/>
  <c r="AX251" i="6" s="1"/>
  <c r="AX21" i="18" s="1"/>
  <c r="AX2" i="7"/>
  <c r="AX233" i="6"/>
  <c r="AX235" i="6" s="1"/>
  <c r="AX21" i="17" s="1"/>
  <c r="AX209" i="6"/>
  <c r="AX2" i="9"/>
  <c r="AX319" i="6"/>
  <c r="AX321" i="6" s="1"/>
  <c r="AX313" i="6"/>
  <c r="AY314" i="6" s="1"/>
  <c r="AX241" i="6"/>
  <c r="AX243" i="6" s="1"/>
  <c r="AX20" i="16" s="1"/>
  <c r="AX182" i="6"/>
  <c r="AX184" i="6" s="1"/>
  <c r="AX189" i="6" s="1"/>
  <c r="AX190" i="6" s="1"/>
  <c r="AX194" i="6" s="1"/>
  <c r="AX114" i="6"/>
  <c r="AX115" i="6" s="1"/>
  <c r="AX92" i="6"/>
  <c r="AX176" i="6"/>
  <c r="AX177" i="6" s="1"/>
  <c r="AX52" i="6"/>
  <c r="AX147" i="6"/>
  <c r="AX72" i="6"/>
  <c r="AX120" i="6"/>
  <c r="AX122" i="6" s="1"/>
  <c r="AX127" i="6" s="1"/>
  <c r="AX128" i="6" s="1"/>
  <c r="AX132" i="6" s="1"/>
  <c r="AX2" i="6"/>
  <c r="AX32" i="6"/>
  <c r="S8" i="28"/>
  <c r="S19" i="16"/>
  <c r="S21" i="16" s="1"/>
  <c r="S26" i="11"/>
  <c r="S27" i="11" s="1"/>
  <c r="AW8" i="37"/>
  <c r="AW16" i="12"/>
  <c r="AW34" i="10"/>
  <c r="AW21" i="10"/>
  <c r="AW41" i="10"/>
  <c r="AW43" i="10" s="1"/>
  <c r="AW25" i="14" s="1"/>
  <c r="AW26" i="14" s="1"/>
  <c r="AY13" i="21"/>
  <c r="AX61" i="20"/>
  <c r="AX67" i="20" s="1"/>
  <c r="AW162" i="6"/>
  <c r="AW141" i="6"/>
  <c r="R18" i="31" l="1"/>
  <c r="S11" i="18"/>
  <c r="R17" i="31"/>
  <c r="S11" i="16"/>
  <c r="AY32" i="12"/>
  <c r="AY40" i="12"/>
  <c r="AY13" i="10"/>
  <c r="AY14" i="10" s="1"/>
  <c r="T53" i="12"/>
  <c r="T54" i="12" s="1"/>
  <c r="T11" i="11"/>
  <c r="T12" i="11" s="1"/>
  <c r="T23" i="10"/>
  <c r="T24" i="10" s="1"/>
  <c r="AZ9" i="37"/>
  <c r="AZ17" i="12"/>
  <c r="AZ22" i="10"/>
  <c r="AZ42" i="10"/>
  <c r="AZ59" i="20"/>
  <c r="AZ53" i="20"/>
  <c r="AZ54" i="20" s="1"/>
  <c r="AZ58" i="20" s="1"/>
  <c r="AZ234" i="6"/>
  <c r="AZ242" i="6"/>
  <c r="AZ183" i="6"/>
  <c r="AZ290" i="6"/>
  <c r="AZ291" i="6" s="1"/>
  <c r="AZ283" i="6"/>
  <c r="AZ250" i="6"/>
  <c r="AZ121" i="6"/>
  <c r="AZ18" i="6"/>
  <c r="AZ19" i="6" s="1"/>
  <c r="AZ2" i="4" s="1"/>
  <c r="AZ34" i="6"/>
  <c r="AZ47" i="6"/>
  <c r="AZ41" i="6"/>
  <c r="BA4" i="40"/>
  <c r="BA4" i="37"/>
  <c r="BA4" i="34"/>
  <c r="BA4" i="31"/>
  <c r="BA4" i="22"/>
  <c r="BA4" i="28"/>
  <c r="BA4" i="21"/>
  <c r="BA10" i="21"/>
  <c r="BA74" i="20"/>
  <c r="BA4" i="20"/>
  <c r="BA32" i="20"/>
  <c r="BA28" i="19"/>
  <c r="BA4" i="19"/>
  <c r="BA4" i="18"/>
  <c r="BA4" i="17"/>
  <c r="BA10" i="18"/>
  <c r="BA4" i="16"/>
  <c r="BA10" i="17"/>
  <c r="BA40" i="15"/>
  <c r="BA10" i="16"/>
  <c r="BA4" i="15"/>
  <c r="BA27" i="15"/>
  <c r="BA4" i="14"/>
  <c r="BA27" i="13"/>
  <c r="BA82" i="12"/>
  <c r="BA4" i="13"/>
  <c r="BA46" i="12"/>
  <c r="BA19" i="13"/>
  <c r="BA69" i="12"/>
  <c r="BA59" i="12"/>
  <c r="BA12" i="10"/>
  <c r="BA4" i="10"/>
  <c r="BA35" i="9"/>
  <c r="BA4" i="8"/>
  <c r="BA4" i="12"/>
  <c r="BA23" i="11"/>
  <c r="BA18" i="12"/>
  <c r="BA4" i="11"/>
  <c r="BA19" i="10"/>
  <c r="BA4" i="9"/>
  <c r="BA351" i="6"/>
  <c r="BA352" i="6" s="1"/>
  <c r="BA301" i="6"/>
  <c r="BA302" i="6" s="1"/>
  <c r="BA320" i="6"/>
  <c r="BA202" i="6"/>
  <c r="BA10" i="9"/>
  <c r="BA312" i="6"/>
  <c r="BA331" i="6"/>
  <c r="BA332" i="6" s="1"/>
  <c r="BA346" i="6"/>
  <c r="BA347" i="6" s="1"/>
  <c r="BA296" i="6"/>
  <c r="BA297" i="6" s="1"/>
  <c r="BA4" i="7"/>
  <c r="BA259" i="6"/>
  <c r="BA66" i="6"/>
  <c r="BA73" i="6"/>
  <c r="BA80" i="6"/>
  <c r="BA4" i="6"/>
  <c r="BA140" i="6"/>
  <c r="BA86" i="6"/>
  <c r="BA33" i="6"/>
  <c r="BA188" i="6"/>
  <c r="BA93" i="6"/>
  <c r="BA126" i="6"/>
  <c r="BA100" i="6"/>
  <c r="BA46" i="6"/>
  <c r="BA336" i="6"/>
  <c r="BA337" i="6" s="1"/>
  <c r="BA275" i="6"/>
  <c r="BA106" i="6"/>
  <c r="BA53" i="6"/>
  <c r="BA23" i="6"/>
  <c r="BA24" i="6" s="1"/>
  <c r="BA3" i="4" s="1"/>
  <c r="BB28" i="6"/>
  <c r="BB4" i="4" s="1"/>
  <c r="BA11" i="6"/>
  <c r="BA12" i="6" s="1"/>
  <c r="BA60" i="6"/>
  <c r="BA40" i="6"/>
  <c r="BA35" i="10"/>
  <c r="AZ94" i="6"/>
  <c r="AZ101" i="6"/>
  <c r="AZ107" i="6"/>
  <c r="AX8" i="37"/>
  <c r="AX16" i="12"/>
  <c r="AX34" i="10"/>
  <c r="AX21" i="10"/>
  <c r="AX41" i="10"/>
  <c r="AX43" i="10" s="1"/>
  <c r="AX25" i="14" s="1"/>
  <c r="AX26" i="14" s="1"/>
  <c r="AW19" i="37"/>
  <c r="AX83" i="12"/>
  <c r="AX85" i="12" s="1"/>
  <c r="AX54" i="6"/>
  <c r="AX61" i="6"/>
  <c r="AX67" i="6"/>
  <c r="AY26" i="31"/>
  <c r="AZ11" i="21"/>
  <c r="AZ13" i="21" s="1"/>
  <c r="AY29" i="9"/>
  <c r="AZ3" i="40"/>
  <c r="AZ3" i="37"/>
  <c r="AZ3" i="34"/>
  <c r="AZ3" i="31"/>
  <c r="AZ3" i="28"/>
  <c r="AZ3" i="22"/>
  <c r="AZ3" i="21"/>
  <c r="AZ3" i="20"/>
  <c r="AZ3" i="18"/>
  <c r="AZ3" i="19"/>
  <c r="AZ3" i="17"/>
  <c r="AZ3" i="16"/>
  <c r="AZ3" i="15"/>
  <c r="AZ3" i="14"/>
  <c r="AZ3" i="13"/>
  <c r="AZ3" i="12"/>
  <c r="AZ3" i="11"/>
  <c r="AZ3" i="10"/>
  <c r="AZ3" i="9"/>
  <c r="AZ3" i="8"/>
  <c r="AZ3" i="7"/>
  <c r="AZ59" i="6"/>
  <c r="AZ79" i="6"/>
  <c r="AZ39" i="6"/>
  <c r="AZ99" i="6"/>
  <c r="AZ3" i="6"/>
  <c r="AZ14" i="37"/>
  <c r="AZ72" i="12"/>
  <c r="AZ64" i="12"/>
  <c r="AZ76" i="12"/>
  <c r="AZ77" i="12" s="1"/>
  <c r="S14" i="31"/>
  <c r="T24" i="11"/>
  <c r="AX203" i="6"/>
  <c r="AX224" i="6"/>
  <c r="AY2" i="40"/>
  <c r="AY2" i="37"/>
  <c r="AY2" i="34"/>
  <c r="AY2" i="31"/>
  <c r="AY2" i="28"/>
  <c r="AY2" i="21"/>
  <c r="AY2" i="22"/>
  <c r="AY60" i="20"/>
  <c r="AY61" i="20" s="1"/>
  <c r="AY67" i="20" s="1"/>
  <c r="AY2" i="20"/>
  <c r="AY2" i="19"/>
  <c r="AY2" i="16"/>
  <c r="AY2" i="17"/>
  <c r="AY2" i="18"/>
  <c r="AY2" i="15"/>
  <c r="AY2" i="14"/>
  <c r="AY2" i="13"/>
  <c r="AY2" i="11"/>
  <c r="AY2" i="10"/>
  <c r="AY2" i="12"/>
  <c r="AY2" i="8"/>
  <c r="AY249" i="6"/>
  <c r="AY251" i="6" s="1"/>
  <c r="AY21" i="18" s="1"/>
  <c r="AY2" i="7"/>
  <c r="AY233" i="6"/>
  <c r="AY235" i="6" s="1"/>
  <c r="AY21" i="17" s="1"/>
  <c r="AY209" i="6"/>
  <c r="AY2" i="9"/>
  <c r="AY319" i="6"/>
  <c r="AY321" i="6" s="1"/>
  <c r="AY313" i="6"/>
  <c r="AZ314" i="6" s="1"/>
  <c r="AY241" i="6"/>
  <c r="AY243" i="6" s="1"/>
  <c r="AY20" i="16" s="1"/>
  <c r="AY176" i="6"/>
  <c r="AY177" i="6" s="1"/>
  <c r="AY52" i="6"/>
  <c r="AY282" i="6"/>
  <c r="AY284" i="6" s="1"/>
  <c r="AY276" i="6" s="1"/>
  <c r="AY277" i="6" s="1"/>
  <c r="AY270" i="6" s="1"/>
  <c r="AY182" i="6"/>
  <c r="AY184" i="6" s="1"/>
  <c r="AY189" i="6" s="1"/>
  <c r="AY190" i="6" s="1"/>
  <c r="AY194" i="6" s="1"/>
  <c r="AY147" i="6"/>
  <c r="AY72" i="6"/>
  <c r="AY120" i="6"/>
  <c r="AY122" i="6" s="1"/>
  <c r="AY127" i="6" s="1"/>
  <c r="AY128" i="6" s="1"/>
  <c r="AY132" i="6" s="1"/>
  <c r="AY32" i="6"/>
  <c r="AY114" i="6"/>
  <c r="AY115" i="6" s="1"/>
  <c r="AY92" i="6"/>
  <c r="AY2" i="6"/>
  <c r="AZ74" i="6"/>
  <c r="AZ81" i="6"/>
  <c r="AZ87" i="6"/>
  <c r="S19" i="34"/>
  <c r="S26" i="16"/>
  <c r="U27" i="16" s="1"/>
  <c r="S12" i="16"/>
  <c r="AW49" i="15"/>
  <c r="AW12" i="14"/>
  <c r="AW34" i="15"/>
  <c r="AW27" i="14"/>
  <c r="AW9" i="28" s="1"/>
  <c r="AX162" i="6"/>
  <c r="AX141" i="6"/>
  <c r="AY18" i="37"/>
  <c r="AY22" i="13"/>
  <c r="AY30" i="13"/>
  <c r="AY84" i="12"/>
  <c r="AY62" i="12"/>
  <c r="S40" i="17"/>
  <c r="S41" i="17" s="1"/>
  <c r="AZ26" i="31" l="1"/>
  <c r="BA11" i="21"/>
  <c r="AZ29" i="9"/>
  <c r="AX19" i="37"/>
  <c r="AY83" i="12"/>
  <c r="AY85" i="12" s="1"/>
  <c r="T16" i="19"/>
  <c r="T17" i="19" s="1"/>
  <c r="T42" i="15"/>
  <c r="T20" i="15"/>
  <c r="T25" i="11"/>
  <c r="AZ18" i="37"/>
  <c r="AZ30" i="13"/>
  <c r="AZ84" i="12"/>
  <c r="AZ62" i="12"/>
  <c r="AZ22" i="13"/>
  <c r="BA9" i="37"/>
  <c r="BA22" i="10"/>
  <c r="BA42" i="10"/>
  <c r="BA17" i="12"/>
  <c r="BA34" i="6"/>
  <c r="BA41" i="6"/>
  <c r="BA47" i="6"/>
  <c r="AZ2" i="40"/>
  <c r="AZ2" i="37"/>
  <c r="AZ2" i="34"/>
  <c r="AZ2" i="31"/>
  <c r="AZ2" i="28"/>
  <c r="AZ2" i="22"/>
  <c r="AZ2" i="21"/>
  <c r="AZ60" i="20"/>
  <c r="AZ61" i="20" s="1"/>
  <c r="AZ67" i="20" s="1"/>
  <c r="AZ2" i="19"/>
  <c r="AZ2" i="18"/>
  <c r="AZ2" i="20"/>
  <c r="AZ2" i="17"/>
  <c r="AZ2" i="14"/>
  <c r="AZ2" i="16"/>
  <c r="AZ2" i="15"/>
  <c r="AZ2" i="13"/>
  <c r="AZ2" i="10"/>
  <c r="AZ2" i="9"/>
  <c r="AZ2" i="12"/>
  <c r="AZ2" i="7"/>
  <c r="AZ233" i="6"/>
  <c r="AZ235" i="6" s="1"/>
  <c r="AZ21" i="17" s="1"/>
  <c r="AZ209" i="6"/>
  <c r="AZ2" i="11"/>
  <c r="AZ319" i="6"/>
  <c r="AZ321" i="6" s="1"/>
  <c r="AZ313" i="6"/>
  <c r="BA314" i="6" s="1"/>
  <c r="AZ241" i="6"/>
  <c r="AZ243" i="6" s="1"/>
  <c r="AZ20" i="16" s="1"/>
  <c r="AZ282" i="6"/>
  <c r="AZ284" i="6" s="1"/>
  <c r="AZ276" i="6" s="1"/>
  <c r="AZ277" i="6" s="1"/>
  <c r="AZ270" i="6" s="1"/>
  <c r="AZ176" i="6"/>
  <c r="AZ177" i="6" s="1"/>
  <c r="AZ52" i="6"/>
  <c r="AZ249" i="6"/>
  <c r="AZ251" i="6" s="1"/>
  <c r="AZ21" i="18" s="1"/>
  <c r="AZ182" i="6"/>
  <c r="AZ184" i="6" s="1"/>
  <c r="AZ189" i="6" s="1"/>
  <c r="AZ190" i="6" s="1"/>
  <c r="AZ194" i="6" s="1"/>
  <c r="AZ147" i="6"/>
  <c r="AZ72" i="6"/>
  <c r="AZ120" i="6"/>
  <c r="AZ122" i="6" s="1"/>
  <c r="AZ127" i="6" s="1"/>
  <c r="AZ128" i="6" s="1"/>
  <c r="AZ132" i="6" s="1"/>
  <c r="AZ114" i="6"/>
  <c r="AZ115" i="6" s="1"/>
  <c r="AZ92" i="6"/>
  <c r="AZ2" i="6"/>
  <c r="AZ2" i="8"/>
  <c r="AZ32" i="6"/>
  <c r="T16" i="37"/>
  <c r="T63" i="12"/>
  <c r="T65" i="12" s="1"/>
  <c r="T71" i="12"/>
  <c r="T73" i="12" s="1"/>
  <c r="AY8" i="37"/>
  <c r="AY34" i="10"/>
  <c r="AY21" i="10"/>
  <c r="AY41" i="10"/>
  <c r="AY43" i="10" s="1"/>
  <c r="AY25" i="14" s="1"/>
  <c r="AY26" i="14" s="1"/>
  <c r="AY16" i="12"/>
  <c r="AY61" i="6"/>
  <c r="AY67" i="6"/>
  <c r="AY54" i="6"/>
  <c r="BA94" i="6"/>
  <c r="BA101" i="6"/>
  <c r="BA107" i="6"/>
  <c r="BA74" i="6"/>
  <c r="BA81" i="6"/>
  <c r="BA87" i="6"/>
  <c r="AX27" i="14"/>
  <c r="AX9" i="28" s="1"/>
  <c r="AX49" i="15"/>
  <c r="AX34" i="15"/>
  <c r="AX12" i="14"/>
  <c r="BA53" i="20"/>
  <c r="BA54" i="20" s="1"/>
  <c r="BA58" i="20" s="1"/>
  <c r="BA59" i="20"/>
  <c r="BA242" i="6"/>
  <c r="BA183" i="6"/>
  <c r="BA290" i="6"/>
  <c r="BA291" i="6" s="1"/>
  <c r="BA283" i="6"/>
  <c r="BA250" i="6"/>
  <c r="BA121" i="6"/>
  <c r="BA18" i="6"/>
  <c r="BA19" i="6" s="1"/>
  <c r="BA2" i="4" s="1"/>
  <c r="BA234" i="6"/>
  <c r="AZ40" i="12"/>
  <c r="AZ13" i="10"/>
  <c r="AZ14" i="10" s="1"/>
  <c r="AZ32" i="12"/>
  <c r="S39" i="16"/>
  <c r="S40" i="16" s="1"/>
  <c r="S46" i="17"/>
  <c r="S47" i="17" s="1"/>
  <c r="S33" i="17"/>
  <c r="S42" i="17"/>
  <c r="S16" i="28" s="1"/>
  <c r="U14" i="16"/>
  <c r="U28" i="16"/>
  <c r="U20" i="34" s="1"/>
  <c r="AY162" i="6"/>
  <c r="AY141" i="6"/>
  <c r="BB4" i="40"/>
  <c r="BB4" i="37"/>
  <c r="BB4" i="34"/>
  <c r="BB4" i="31"/>
  <c r="BB4" i="28"/>
  <c r="BB4" i="21"/>
  <c r="BB10" i="21"/>
  <c r="BB4" i="22"/>
  <c r="BB74" i="20"/>
  <c r="BB32" i="20"/>
  <c r="BB28" i="19"/>
  <c r="BB4" i="20"/>
  <c r="BB4" i="18"/>
  <c r="BB10" i="18"/>
  <c r="BB10" i="17"/>
  <c r="BB4" i="19"/>
  <c r="BB27" i="15"/>
  <c r="BB4" i="16"/>
  <c r="BB4" i="17"/>
  <c r="BB10" i="16"/>
  <c r="BB40" i="15"/>
  <c r="BB4" i="14"/>
  <c r="BB69" i="12"/>
  <c r="BB19" i="13"/>
  <c r="BB4" i="13"/>
  <c r="BB27" i="13"/>
  <c r="BB4" i="15"/>
  <c r="BB4" i="12"/>
  <c r="BB46" i="12"/>
  <c r="BB59" i="12"/>
  <c r="BB18" i="12"/>
  <c r="BB82" i="12"/>
  <c r="BB23" i="11"/>
  <c r="BB4" i="11"/>
  <c r="BB19" i="10"/>
  <c r="BB320" i="6"/>
  <c r="BB202" i="6"/>
  <c r="BB10" i="9"/>
  <c r="BB312" i="6"/>
  <c r="BB331" i="6"/>
  <c r="BB332" i="6" s="1"/>
  <c r="BB188" i="6"/>
  <c r="BB4" i="8"/>
  <c r="BB346" i="6"/>
  <c r="BB347" i="6" s="1"/>
  <c r="BB296" i="6"/>
  <c r="BB297" i="6" s="1"/>
  <c r="BB12" i="10"/>
  <c r="BB4" i="10"/>
  <c r="BB4" i="7"/>
  <c r="BB259" i="6"/>
  <c r="BB35" i="9"/>
  <c r="BB336" i="6"/>
  <c r="BB337" i="6" s="1"/>
  <c r="BB275" i="6"/>
  <c r="BB73" i="6"/>
  <c r="BB80" i="6"/>
  <c r="BB4" i="6"/>
  <c r="BB351" i="6"/>
  <c r="BB352" i="6" s="1"/>
  <c r="BB140" i="6"/>
  <c r="BB86" i="6"/>
  <c r="BB33" i="6"/>
  <c r="BB11" i="6"/>
  <c r="BB12" i="6" s="1"/>
  <c r="BB93" i="6"/>
  <c r="BB40" i="6"/>
  <c r="BC28" i="6"/>
  <c r="BC4" i="4" s="1"/>
  <c r="BB126" i="6"/>
  <c r="BB100" i="6"/>
  <c r="BB106" i="6"/>
  <c r="BB53" i="6"/>
  <c r="BB60" i="6"/>
  <c r="BB46" i="6"/>
  <c r="BB66" i="6"/>
  <c r="BB4" i="9"/>
  <c r="BB23" i="6"/>
  <c r="BB24" i="6" s="1"/>
  <c r="BB3" i="4" s="1"/>
  <c r="BB301" i="6"/>
  <c r="BB302" i="6" s="1"/>
  <c r="BB35" i="10"/>
  <c r="BA14" i="37"/>
  <c r="BA64" i="12"/>
  <c r="BA76" i="12"/>
  <c r="BA77" i="12" s="1"/>
  <c r="BA72" i="12"/>
  <c r="S27" i="18"/>
  <c r="S28" i="18" s="1"/>
  <c r="S40" i="18"/>
  <c r="S41" i="18" s="1"/>
  <c r="AY203" i="6"/>
  <c r="AY224" i="6"/>
  <c r="BA3" i="40"/>
  <c r="BA3" i="37"/>
  <c r="BA3" i="34"/>
  <c r="BA3" i="31"/>
  <c r="BA3" i="28"/>
  <c r="BA3" i="22"/>
  <c r="BA3" i="21"/>
  <c r="BA3" i="20"/>
  <c r="BA3" i="19"/>
  <c r="BA3" i="18"/>
  <c r="BA3" i="16"/>
  <c r="BA3" i="17"/>
  <c r="BA3" i="14"/>
  <c r="BA3" i="15"/>
  <c r="BA3" i="13"/>
  <c r="BA3" i="12"/>
  <c r="BA3" i="11"/>
  <c r="BA3" i="10"/>
  <c r="BA3" i="8"/>
  <c r="BA3" i="7"/>
  <c r="BA3" i="9"/>
  <c r="BA59" i="6"/>
  <c r="BA79" i="6"/>
  <c r="BA99" i="6"/>
  <c r="BA39" i="6"/>
  <c r="BA3" i="6"/>
  <c r="BA13" i="21"/>
  <c r="T10" i="37"/>
  <c r="T24" i="12"/>
  <c r="T26" i="12" s="1"/>
  <c r="T31" i="12" s="1"/>
  <c r="U20" i="10"/>
  <c r="BC4" i="40" l="1"/>
  <c r="BC4" i="37"/>
  <c r="BC4" i="34"/>
  <c r="BC4" i="31"/>
  <c r="BC4" i="28"/>
  <c r="BC10" i="21"/>
  <c r="BC4" i="22"/>
  <c r="BC4" i="21"/>
  <c r="BC74" i="20"/>
  <c r="BC32" i="20"/>
  <c r="BC28" i="19"/>
  <c r="BC4" i="20"/>
  <c r="BC4" i="18"/>
  <c r="BC4" i="19"/>
  <c r="BC10" i="18"/>
  <c r="BC10" i="17"/>
  <c r="BC40" i="15"/>
  <c r="BC10" i="16"/>
  <c r="BC4" i="17"/>
  <c r="BC4" i="16"/>
  <c r="BC4" i="14"/>
  <c r="BC4" i="15"/>
  <c r="BC69" i="12"/>
  <c r="BC19" i="13"/>
  <c r="BC4" i="13"/>
  <c r="BC27" i="13"/>
  <c r="BC27" i="15"/>
  <c r="BC46" i="12"/>
  <c r="BC82" i="12"/>
  <c r="BC18" i="12"/>
  <c r="BC4" i="12"/>
  <c r="BC23" i="11"/>
  <c r="BC59" i="12"/>
  <c r="BC4" i="11"/>
  <c r="BC19" i="10"/>
  <c r="BC12" i="10"/>
  <c r="BC4" i="10"/>
  <c r="BC10" i="9"/>
  <c r="BC312" i="6"/>
  <c r="BC331" i="6"/>
  <c r="BC332" i="6" s="1"/>
  <c r="BC188" i="6"/>
  <c r="BC4" i="8"/>
  <c r="BC346" i="6"/>
  <c r="BC347" i="6" s="1"/>
  <c r="BC296" i="6"/>
  <c r="BC297" i="6" s="1"/>
  <c r="BC4" i="7"/>
  <c r="BC259" i="6"/>
  <c r="BC35" i="9"/>
  <c r="BC336" i="6"/>
  <c r="BC337" i="6" s="1"/>
  <c r="BC275" i="6"/>
  <c r="BC4" i="9"/>
  <c r="BC351" i="6"/>
  <c r="BC352" i="6" s="1"/>
  <c r="BC301" i="6"/>
  <c r="BC302" i="6" s="1"/>
  <c r="BC80" i="6"/>
  <c r="BC140" i="6"/>
  <c r="BC86" i="6"/>
  <c r="BC33" i="6"/>
  <c r="BC11" i="6"/>
  <c r="BC12" i="6" s="1"/>
  <c r="BC93" i="6"/>
  <c r="BC40" i="6"/>
  <c r="BD28" i="6"/>
  <c r="BD4" i="4" s="1"/>
  <c r="BC202" i="6"/>
  <c r="BC126" i="6"/>
  <c r="BC100" i="6"/>
  <c r="BC46" i="6"/>
  <c r="BC106" i="6"/>
  <c r="BC53" i="6"/>
  <c r="BC320" i="6"/>
  <c r="BC60" i="6"/>
  <c r="BC66" i="6"/>
  <c r="BC4" i="6"/>
  <c r="BC23" i="6"/>
  <c r="BC24" i="6" s="1"/>
  <c r="BC3" i="4" s="1"/>
  <c r="BC73" i="6"/>
  <c r="BC35" i="10"/>
  <c r="S41" i="16"/>
  <c r="S17" i="28" s="1"/>
  <c r="S45" i="16"/>
  <c r="S46" i="16" s="1"/>
  <c r="S32" i="16"/>
  <c r="BA32" i="12"/>
  <c r="BA40" i="12"/>
  <c r="BA13" i="10"/>
  <c r="BA14" i="10" s="1"/>
  <c r="AY49" i="15"/>
  <c r="AY34" i="15"/>
  <c r="AY12" i="14"/>
  <c r="AY27" i="14"/>
  <c r="AY9" i="28" s="1"/>
  <c r="AZ67" i="6"/>
  <c r="AZ54" i="6"/>
  <c r="AZ61" i="6"/>
  <c r="AZ8" i="37"/>
  <c r="AZ16" i="12"/>
  <c r="AZ34" i="10"/>
  <c r="AZ21" i="10"/>
  <c r="AZ41" i="10"/>
  <c r="AZ43" i="10" s="1"/>
  <c r="AZ25" i="14" s="1"/>
  <c r="AZ26" i="14" s="1"/>
  <c r="T21" i="19"/>
  <c r="T43" i="15"/>
  <c r="T45" i="15" s="1"/>
  <c r="T21" i="15"/>
  <c r="V22" i="15" s="1"/>
  <c r="BB53" i="20"/>
  <c r="BB54" i="20" s="1"/>
  <c r="BB58" i="20" s="1"/>
  <c r="BB59" i="20"/>
  <c r="BB242" i="6"/>
  <c r="BB183" i="6"/>
  <c r="BB290" i="6"/>
  <c r="BB291" i="6" s="1"/>
  <c r="BB283" i="6"/>
  <c r="BB250" i="6"/>
  <c r="BB234" i="6"/>
  <c r="BB121" i="6"/>
  <c r="BB18" i="6"/>
  <c r="BB19" i="6" s="1"/>
  <c r="BB2" i="4" s="1"/>
  <c r="BB81" i="6"/>
  <c r="BB87" i="6"/>
  <c r="BB74" i="6"/>
  <c r="BA2" i="40"/>
  <c r="BA2" i="37"/>
  <c r="BA2" i="34"/>
  <c r="BA2" i="31"/>
  <c r="BA2" i="28"/>
  <c r="BA2" i="21"/>
  <c r="BA2" i="22"/>
  <c r="BA60" i="20"/>
  <c r="BA2" i="20"/>
  <c r="BA2" i="19"/>
  <c r="BA2" i="18"/>
  <c r="BA2" i="17"/>
  <c r="BA2" i="16"/>
  <c r="BA2" i="15"/>
  <c r="BA2" i="14"/>
  <c r="BA2" i="13"/>
  <c r="BA2" i="10"/>
  <c r="BA2" i="8"/>
  <c r="BA2" i="12"/>
  <c r="BA2" i="11"/>
  <c r="BA2" i="7"/>
  <c r="BA233" i="6"/>
  <c r="BA235" i="6" s="1"/>
  <c r="BA21" i="17" s="1"/>
  <c r="BA2" i="9"/>
  <c r="BA319" i="6"/>
  <c r="BA321" i="6" s="1"/>
  <c r="BA313" i="6"/>
  <c r="BA241" i="6"/>
  <c r="BA243" i="6" s="1"/>
  <c r="BA20" i="16" s="1"/>
  <c r="BA182" i="6"/>
  <c r="BA184" i="6" s="1"/>
  <c r="BA189" i="6" s="1"/>
  <c r="BA190" i="6" s="1"/>
  <c r="BA194" i="6" s="1"/>
  <c r="BA282" i="6"/>
  <c r="BA284" i="6" s="1"/>
  <c r="BA276" i="6" s="1"/>
  <c r="BA277" i="6" s="1"/>
  <c r="BA270" i="6" s="1"/>
  <c r="BA249" i="6"/>
  <c r="BA251" i="6" s="1"/>
  <c r="BA21" i="18" s="1"/>
  <c r="BA147" i="6"/>
  <c r="BA72" i="6"/>
  <c r="BA120" i="6"/>
  <c r="BA122" i="6" s="1"/>
  <c r="BA127" i="6" s="1"/>
  <c r="BA128" i="6" s="1"/>
  <c r="BA132" i="6" s="1"/>
  <c r="BA114" i="6"/>
  <c r="BA115" i="6" s="1"/>
  <c r="BA92" i="6"/>
  <c r="BA209" i="6"/>
  <c r="BA2" i="6"/>
  <c r="BA176" i="6"/>
  <c r="BA177" i="6" s="1"/>
  <c r="BA52" i="6"/>
  <c r="BA32" i="6"/>
  <c r="BA61" i="20"/>
  <c r="BA67" i="20" s="1"/>
  <c r="T17" i="37"/>
  <c r="U70" i="12"/>
  <c r="T17" i="11"/>
  <c r="T18" i="11" s="1"/>
  <c r="AZ203" i="6"/>
  <c r="AZ224" i="6"/>
  <c r="BA18" i="37"/>
  <c r="BA30" i="13"/>
  <c r="BA84" i="12"/>
  <c r="BA62" i="12"/>
  <c r="BA22" i="13"/>
  <c r="BB34" i="6"/>
  <c r="BB41" i="6"/>
  <c r="BB47" i="6"/>
  <c r="S48" i="17"/>
  <c r="S23" i="34" s="1"/>
  <c r="S34" i="17"/>
  <c r="S35" i="17" s="1"/>
  <c r="S13" i="17" s="1"/>
  <c r="S15" i="17" s="1"/>
  <c r="T15" i="37"/>
  <c r="U60" i="12"/>
  <c r="AZ162" i="6"/>
  <c r="AZ141" i="6"/>
  <c r="BA26" i="31"/>
  <c r="BB11" i="21"/>
  <c r="BB13" i="21" s="1"/>
  <c r="BA29" i="9"/>
  <c r="BB9" i="37"/>
  <c r="BB42" i="10"/>
  <c r="BB17" i="12"/>
  <c r="BB22" i="10"/>
  <c r="S42" i="18"/>
  <c r="S18" i="28" s="1"/>
  <c r="S33" i="18"/>
  <c r="S46" i="18"/>
  <c r="S47" i="18" s="1"/>
  <c r="U28" i="10"/>
  <c r="S14" i="18"/>
  <c r="S29" i="18"/>
  <c r="S22" i="34" s="1"/>
  <c r="BB3" i="40"/>
  <c r="BB3" i="37"/>
  <c r="BB3" i="34"/>
  <c r="BB3" i="31"/>
  <c r="BB3" i="28"/>
  <c r="BB3" i="22"/>
  <c r="BB3" i="21"/>
  <c r="BB3" i="20"/>
  <c r="BB3" i="19"/>
  <c r="BB3" i="17"/>
  <c r="BB3" i="18"/>
  <c r="BB3" i="16"/>
  <c r="BB3" i="14"/>
  <c r="BB3" i="15"/>
  <c r="BB3" i="13"/>
  <c r="BB3" i="12"/>
  <c r="BB3" i="11"/>
  <c r="BB3" i="10"/>
  <c r="BB3" i="8"/>
  <c r="BB3" i="7"/>
  <c r="BB3" i="9"/>
  <c r="BB79" i="6"/>
  <c r="BB99" i="6"/>
  <c r="BB39" i="6"/>
  <c r="BB3" i="6"/>
  <c r="BB59" i="6"/>
  <c r="BB94" i="6"/>
  <c r="BB101" i="6"/>
  <c r="BB107" i="6"/>
  <c r="BB314" i="6"/>
  <c r="BB14" i="37"/>
  <c r="BB76" i="12"/>
  <c r="BB77" i="12" s="1"/>
  <c r="BB64" i="12"/>
  <c r="BB72" i="12"/>
  <c r="AY19" i="37"/>
  <c r="AZ83" i="12"/>
  <c r="AZ85" i="12" s="1"/>
  <c r="T10" i="31" l="1"/>
  <c r="U41" i="15"/>
  <c r="S16" i="31"/>
  <c r="T11" i="17"/>
  <c r="V8" i="34"/>
  <c r="V44" i="15"/>
  <c r="BB26" i="31"/>
  <c r="BC11" i="21"/>
  <c r="BB29" i="9"/>
  <c r="BC9" i="37"/>
  <c r="BC17" i="12"/>
  <c r="BC42" i="10"/>
  <c r="BC22" i="10"/>
  <c r="BC13" i="21"/>
  <c r="BC59" i="20"/>
  <c r="BC53" i="20"/>
  <c r="BC54" i="20" s="1"/>
  <c r="BC58" i="20" s="1"/>
  <c r="BC242" i="6"/>
  <c r="BC290" i="6"/>
  <c r="BC291" i="6" s="1"/>
  <c r="BC283" i="6"/>
  <c r="BC250" i="6"/>
  <c r="BC234" i="6"/>
  <c r="BC121" i="6"/>
  <c r="BC18" i="6"/>
  <c r="BC19" i="6" s="1"/>
  <c r="BC2" i="4" s="1"/>
  <c r="BC183" i="6"/>
  <c r="BA141" i="6"/>
  <c r="BA162" i="6"/>
  <c r="BB2" i="40"/>
  <c r="BB2" i="37"/>
  <c r="BB2" i="34"/>
  <c r="BB2" i="31"/>
  <c r="BB2" i="28"/>
  <c r="BB2" i="21"/>
  <c r="BB2" i="22"/>
  <c r="BB60" i="20"/>
  <c r="BB2" i="20"/>
  <c r="BB2" i="18"/>
  <c r="BB2" i="17"/>
  <c r="BB2" i="19"/>
  <c r="BB2" i="16"/>
  <c r="BB2" i="15"/>
  <c r="BB2" i="13"/>
  <c r="BB2" i="14"/>
  <c r="BB2" i="12"/>
  <c r="BB2" i="11"/>
  <c r="BB2" i="9"/>
  <c r="BB319" i="6"/>
  <c r="BB321" i="6" s="1"/>
  <c r="BB313" i="6"/>
  <c r="BC314" i="6" s="1"/>
  <c r="BB241" i="6"/>
  <c r="BB243" i="6" s="1"/>
  <c r="BB20" i="16" s="1"/>
  <c r="BB182" i="6"/>
  <c r="BB184" i="6" s="1"/>
  <c r="BB189" i="6" s="1"/>
  <c r="BB190" i="6" s="1"/>
  <c r="BB194" i="6" s="1"/>
  <c r="BB176" i="6"/>
  <c r="BB177" i="6" s="1"/>
  <c r="BB2" i="10"/>
  <c r="BB282" i="6"/>
  <c r="BB284" i="6" s="1"/>
  <c r="BB276" i="6" s="1"/>
  <c r="BB277" i="6" s="1"/>
  <c r="BB270" i="6" s="1"/>
  <c r="BB249" i="6"/>
  <c r="BB251" i="6" s="1"/>
  <c r="BB21" i="18" s="1"/>
  <c r="BB2" i="8"/>
  <c r="BB147" i="6"/>
  <c r="BB233" i="6"/>
  <c r="BB235" i="6" s="1"/>
  <c r="BB21" i="17" s="1"/>
  <c r="BB72" i="6"/>
  <c r="BB120" i="6"/>
  <c r="BB122" i="6" s="1"/>
  <c r="BB127" i="6" s="1"/>
  <c r="BB128" i="6" s="1"/>
  <c r="BB132" i="6" s="1"/>
  <c r="BB32" i="6"/>
  <c r="BB114" i="6"/>
  <c r="BB115" i="6" s="1"/>
  <c r="BB92" i="6"/>
  <c r="BB2" i="7"/>
  <c r="BB209" i="6"/>
  <c r="BB52" i="6"/>
  <c r="BB2" i="6"/>
  <c r="S47" i="16"/>
  <c r="S24" i="34" s="1"/>
  <c r="S33" i="16"/>
  <c r="S34" i="16" s="1"/>
  <c r="S13" i="16" s="1"/>
  <c r="S15" i="16" s="1"/>
  <c r="BC87" i="6"/>
  <c r="BC74" i="6"/>
  <c r="BC81" i="6"/>
  <c r="BA54" i="6"/>
  <c r="BA61" i="6"/>
  <c r="BA67" i="6"/>
  <c r="BB61" i="20"/>
  <c r="BB67" i="20" s="1"/>
  <c r="BC3" i="40"/>
  <c r="BC3" i="37"/>
  <c r="BC3" i="34"/>
  <c r="BC3" i="31"/>
  <c r="BC3" i="28"/>
  <c r="BC3" i="22"/>
  <c r="BC3" i="21"/>
  <c r="BC3" i="20"/>
  <c r="BC3" i="19"/>
  <c r="BC3" i="16"/>
  <c r="BC3" i="17"/>
  <c r="BC3" i="15"/>
  <c r="BC3" i="14"/>
  <c r="BC3" i="18"/>
  <c r="BC3" i="13"/>
  <c r="BC3" i="11"/>
  <c r="BC3" i="10"/>
  <c r="BC3" i="8"/>
  <c r="BC3" i="12"/>
  <c r="BC3" i="7"/>
  <c r="BC3" i="9"/>
  <c r="BC79" i="6"/>
  <c r="BC39" i="6"/>
  <c r="BC99" i="6"/>
  <c r="BC59" i="6"/>
  <c r="BC3" i="6"/>
  <c r="AZ49" i="15"/>
  <c r="AZ27" i="14"/>
  <c r="AZ9" i="28" s="1"/>
  <c r="AZ34" i="15"/>
  <c r="AZ12" i="14"/>
  <c r="BC14" i="37"/>
  <c r="BC64" i="12"/>
  <c r="BC72" i="12"/>
  <c r="BC76" i="12"/>
  <c r="BC77" i="12" s="1"/>
  <c r="S48" i="18"/>
  <c r="S25" i="34" s="1"/>
  <c r="S34" i="18"/>
  <c r="S35" i="18" s="1"/>
  <c r="S13" i="18" s="1"/>
  <c r="S15" i="18" s="1"/>
  <c r="AZ19" i="37"/>
  <c r="BA83" i="12"/>
  <c r="BA85" i="12" s="1"/>
  <c r="U27" i="10"/>
  <c r="U29" i="10" s="1"/>
  <c r="T8" i="28"/>
  <c r="T19" i="16"/>
  <c r="T21" i="16" s="1"/>
  <c r="T26" i="11"/>
  <c r="T27" i="11" s="1"/>
  <c r="BA203" i="6"/>
  <c r="BA224" i="6"/>
  <c r="BA8" i="37"/>
  <c r="BA16" i="12"/>
  <c r="BA21" i="10"/>
  <c r="BA41" i="10"/>
  <c r="BA43" i="10" s="1"/>
  <c r="BA25" i="14" s="1"/>
  <c r="BA26" i="14" s="1"/>
  <c r="BA34" i="10"/>
  <c r="BD4" i="37"/>
  <c r="BD4" i="40"/>
  <c r="BD4" i="34"/>
  <c r="BD4" i="31"/>
  <c r="BD4" i="28"/>
  <c r="BD4" i="22"/>
  <c r="BD74" i="20"/>
  <c r="BD4" i="21"/>
  <c r="BD32" i="20"/>
  <c r="BD28" i="19"/>
  <c r="BD10" i="21"/>
  <c r="BD4" i="20"/>
  <c r="BD10" i="18"/>
  <c r="BD4" i="18"/>
  <c r="BD10" i="17"/>
  <c r="BD4" i="19"/>
  <c r="BD4" i="17"/>
  <c r="BD4" i="16"/>
  <c r="BD10" i="16"/>
  <c r="BD40" i="15"/>
  <c r="BD4" i="15"/>
  <c r="BD27" i="15"/>
  <c r="BD4" i="14"/>
  <c r="BD19" i="13"/>
  <c r="BD4" i="13"/>
  <c r="BD27" i="13"/>
  <c r="BD82" i="12"/>
  <c r="BD46" i="12"/>
  <c r="BD59" i="12"/>
  <c r="BD69" i="12"/>
  <c r="BD4" i="12"/>
  <c r="BD10" i="9"/>
  <c r="BD23" i="11"/>
  <c r="BD4" i="11"/>
  <c r="BD19" i="10"/>
  <c r="BD18" i="12"/>
  <c r="BD12" i="10"/>
  <c r="BD4" i="10"/>
  <c r="BD4" i="9"/>
  <c r="BD4" i="7"/>
  <c r="BD312" i="6"/>
  <c r="BD331" i="6"/>
  <c r="BD332" i="6" s="1"/>
  <c r="BD188" i="6"/>
  <c r="BD4" i="8"/>
  <c r="BD346" i="6"/>
  <c r="BD347" i="6" s="1"/>
  <c r="BD296" i="6"/>
  <c r="BD297" i="6" s="1"/>
  <c r="BD259" i="6"/>
  <c r="BD35" i="9"/>
  <c r="BD336" i="6"/>
  <c r="BD337" i="6" s="1"/>
  <c r="BD275" i="6"/>
  <c r="BD351" i="6"/>
  <c r="BD352" i="6" s="1"/>
  <c r="BD301" i="6"/>
  <c r="BD302" i="6" s="1"/>
  <c r="BD320" i="6"/>
  <c r="BD140" i="6"/>
  <c r="BD86" i="6"/>
  <c r="BD93" i="6"/>
  <c r="BD40" i="6"/>
  <c r="BE28" i="6"/>
  <c r="BE4" i="4" s="1"/>
  <c r="BD202" i="6"/>
  <c r="BD126" i="6"/>
  <c r="BD100" i="6"/>
  <c r="BD46" i="6"/>
  <c r="BD106" i="6"/>
  <c r="BD53" i="6"/>
  <c r="BD23" i="6"/>
  <c r="BD24" i="6" s="1"/>
  <c r="BD3" i="4" s="1"/>
  <c r="BD60" i="6"/>
  <c r="BD66" i="6"/>
  <c r="BD73" i="6"/>
  <c r="BD33" i="6"/>
  <c r="BD80" i="6"/>
  <c r="BD11" i="6"/>
  <c r="BD12" i="6" s="1"/>
  <c r="BD4" i="6"/>
  <c r="BD35" i="10"/>
  <c r="BC41" i="6"/>
  <c r="BC47" i="6"/>
  <c r="BC34" i="6"/>
  <c r="BB18" i="37"/>
  <c r="BB22" i="13"/>
  <c r="BB62" i="12"/>
  <c r="BB84" i="12"/>
  <c r="BB30" i="13"/>
  <c r="BB40" i="12"/>
  <c r="BB32" i="12"/>
  <c r="BB13" i="10"/>
  <c r="BB14" i="10" s="1"/>
  <c r="BC94" i="6"/>
  <c r="BC101" i="6"/>
  <c r="BC107" i="6"/>
  <c r="S17" i="31" l="1"/>
  <c r="T11" i="16"/>
  <c r="BD59" i="20"/>
  <c r="BD53" i="20"/>
  <c r="BD54" i="20" s="1"/>
  <c r="BD58" i="20" s="1"/>
  <c r="BD290" i="6"/>
  <c r="BD291" i="6" s="1"/>
  <c r="BD283" i="6"/>
  <c r="BD250" i="6"/>
  <c r="BD234" i="6"/>
  <c r="BD121" i="6"/>
  <c r="BD242" i="6"/>
  <c r="BD183" i="6"/>
  <c r="BD18" i="6"/>
  <c r="BD19" i="6" s="1"/>
  <c r="BD2" i="4" s="1"/>
  <c r="U53" i="12"/>
  <c r="U54" i="12" s="1"/>
  <c r="U11" i="11"/>
  <c r="U12" i="11" s="1"/>
  <c r="U23" i="10"/>
  <c r="U24" i="10" s="1"/>
  <c r="BB224" i="6"/>
  <c r="BB203" i="6"/>
  <c r="S18" i="31"/>
  <c r="T11" i="18"/>
  <c r="BC2" i="40"/>
  <c r="BC2" i="37"/>
  <c r="BC2" i="34"/>
  <c r="BC2" i="31"/>
  <c r="BC2" i="28"/>
  <c r="BC2" i="22"/>
  <c r="BC60" i="20"/>
  <c r="BC61" i="20" s="1"/>
  <c r="BC67" i="20" s="1"/>
  <c r="BC2" i="21"/>
  <c r="BC2" i="18"/>
  <c r="BC2" i="20"/>
  <c r="BC2" i="19"/>
  <c r="BC2" i="17"/>
  <c r="BC2" i="16"/>
  <c r="BC2" i="15"/>
  <c r="BC2" i="13"/>
  <c r="BC2" i="14"/>
  <c r="BC2" i="12"/>
  <c r="BC2" i="11"/>
  <c r="BC2" i="10"/>
  <c r="BC2" i="9"/>
  <c r="BC319" i="6"/>
  <c r="BC321" i="6" s="1"/>
  <c r="BC313" i="6"/>
  <c r="BC241" i="6"/>
  <c r="BC243" i="6" s="1"/>
  <c r="BC20" i="16" s="1"/>
  <c r="BC182" i="6"/>
  <c r="BC184" i="6" s="1"/>
  <c r="BC189" i="6" s="1"/>
  <c r="BC190" i="6" s="1"/>
  <c r="BC194" i="6" s="1"/>
  <c r="BC176" i="6"/>
  <c r="BC177" i="6" s="1"/>
  <c r="BC282" i="6"/>
  <c r="BC284" i="6" s="1"/>
  <c r="BC276" i="6" s="1"/>
  <c r="BC277" i="6" s="1"/>
  <c r="BC270" i="6" s="1"/>
  <c r="BC249" i="6"/>
  <c r="BC251" i="6" s="1"/>
  <c r="BC21" i="18" s="1"/>
  <c r="BC2" i="8"/>
  <c r="BC2" i="7"/>
  <c r="BC233" i="6"/>
  <c r="BC235" i="6" s="1"/>
  <c r="BC21" i="17" s="1"/>
  <c r="BC209" i="6"/>
  <c r="BC72" i="6"/>
  <c r="BC120" i="6"/>
  <c r="BC122" i="6" s="1"/>
  <c r="BC127" i="6" s="1"/>
  <c r="BC128" i="6" s="1"/>
  <c r="BC132" i="6" s="1"/>
  <c r="BC32" i="6"/>
  <c r="BC114" i="6"/>
  <c r="BC115" i="6" s="1"/>
  <c r="BC92" i="6"/>
  <c r="BC52" i="6"/>
  <c r="BC147" i="6"/>
  <c r="BC2" i="6"/>
  <c r="BA19" i="37"/>
  <c r="BB83" i="12"/>
  <c r="BB85" i="12" s="1"/>
  <c r="BD47" i="6"/>
  <c r="BD34" i="6"/>
  <c r="BD41" i="6"/>
  <c r="BD14" i="37"/>
  <c r="BD64" i="12"/>
  <c r="BD72" i="12"/>
  <c r="BD76" i="12"/>
  <c r="BD77" i="12" s="1"/>
  <c r="BC18" i="37"/>
  <c r="BC22" i="13"/>
  <c r="BC30" i="13"/>
  <c r="BC62" i="12"/>
  <c r="BC84" i="12"/>
  <c r="T40" i="17"/>
  <c r="T41" i="17" s="1"/>
  <c r="BB8" i="37"/>
  <c r="BB21" i="10"/>
  <c r="BB41" i="10"/>
  <c r="BB43" i="10" s="1"/>
  <c r="BB25" i="14" s="1"/>
  <c r="BB26" i="14" s="1"/>
  <c r="BB16" i="12"/>
  <c r="BB34" i="10"/>
  <c r="BD94" i="6"/>
  <c r="BD101" i="6"/>
  <c r="BD107" i="6"/>
  <c r="T14" i="31"/>
  <c r="U24" i="11"/>
  <c r="BB54" i="6"/>
  <c r="BB61" i="6"/>
  <c r="BB67" i="6"/>
  <c r="BD9" i="37"/>
  <c r="BD17" i="12"/>
  <c r="BD22" i="10"/>
  <c r="BD42" i="10"/>
  <c r="BE4" i="40"/>
  <c r="BE4" i="37"/>
  <c r="BE4" i="34"/>
  <c r="BE4" i="31"/>
  <c r="BE4" i="28"/>
  <c r="BE10" i="21"/>
  <c r="BE4" i="22"/>
  <c r="BE4" i="21"/>
  <c r="BE74" i="20"/>
  <c r="BE32" i="20"/>
  <c r="BE4" i="20"/>
  <c r="BE10" i="18"/>
  <c r="BE4" i="19"/>
  <c r="BE10" i="17"/>
  <c r="BE28" i="19"/>
  <c r="BE4" i="18"/>
  <c r="BE10" i="16"/>
  <c r="BE4" i="16"/>
  <c r="BE4" i="17"/>
  <c r="BE4" i="14"/>
  <c r="BE40" i="15"/>
  <c r="BE4" i="15"/>
  <c r="BE27" i="15"/>
  <c r="BE19" i="13"/>
  <c r="BE4" i="13"/>
  <c r="BE27" i="13"/>
  <c r="BE82" i="12"/>
  <c r="BE46" i="12"/>
  <c r="BE59" i="12"/>
  <c r="BE4" i="12"/>
  <c r="BE23" i="11"/>
  <c r="BE4" i="11"/>
  <c r="BE19" i="10"/>
  <c r="BE18" i="12"/>
  <c r="BE12" i="10"/>
  <c r="BE4" i="10"/>
  <c r="BE69" i="12"/>
  <c r="BE35" i="9"/>
  <c r="BE4" i="8"/>
  <c r="BE10" i="9"/>
  <c r="BE331" i="6"/>
  <c r="BE332" i="6" s="1"/>
  <c r="BE346" i="6"/>
  <c r="BE347" i="6" s="1"/>
  <c r="BE296" i="6"/>
  <c r="BE297" i="6" s="1"/>
  <c r="BE259" i="6"/>
  <c r="BE4" i="7"/>
  <c r="BE336" i="6"/>
  <c r="BE337" i="6" s="1"/>
  <c r="BE275" i="6"/>
  <c r="BE351" i="6"/>
  <c r="BE352" i="6" s="1"/>
  <c r="BE301" i="6"/>
  <c r="BE302" i="6" s="1"/>
  <c r="BE4" i="9"/>
  <c r="BE320" i="6"/>
  <c r="BE202" i="6"/>
  <c r="BE93" i="6"/>
  <c r="BE126" i="6"/>
  <c r="BE100" i="6"/>
  <c r="BE46" i="6"/>
  <c r="BE106" i="6"/>
  <c r="BE53" i="6"/>
  <c r="BE23" i="6"/>
  <c r="BE24" i="6" s="1"/>
  <c r="BE3" i="4" s="1"/>
  <c r="BE188" i="6"/>
  <c r="BE60" i="6"/>
  <c r="BE312" i="6"/>
  <c r="BE66" i="6"/>
  <c r="BE73" i="6"/>
  <c r="BE80" i="6"/>
  <c r="BE33" i="6"/>
  <c r="BE40" i="6"/>
  <c r="BE86" i="6"/>
  <c r="BF28" i="6"/>
  <c r="BF4" i="4" s="1"/>
  <c r="BE140" i="6"/>
  <c r="BE11" i="6"/>
  <c r="BE12" i="6" s="1"/>
  <c r="BE4" i="6"/>
  <c r="BE35" i="10"/>
  <c r="BA49" i="15"/>
  <c r="BA34" i="15"/>
  <c r="BA12" i="14"/>
  <c r="BA27" i="14"/>
  <c r="BA9" i="28" s="1"/>
  <c r="T19" i="34"/>
  <c r="T12" i="16"/>
  <c r="T26" i="16"/>
  <c r="V27" i="16" s="1"/>
  <c r="BD3" i="40"/>
  <c r="BD3" i="37"/>
  <c r="BD3" i="34"/>
  <c r="BD3" i="31"/>
  <c r="BD3" i="28"/>
  <c r="BD3" i="22"/>
  <c r="BD3" i="21"/>
  <c r="BD3" i="19"/>
  <c r="BD3" i="18"/>
  <c r="BD3" i="20"/>
  <c r="BD3" i="17"/>
  <c r="BD3" i="14"/>
  <c r="BD3" i="16"/>
  <c r="BD3" i="15"/>
  <c r="BD3" i="13"/>
  <c r="BD3" i="10"/>
  <c r="BD3" i="9"/>
  <c r="BD3" i="12"/>
  <c r="BD3" i="7"/>
  <c r="BD3" i="11"/>
  <c r="BD79" i="6"/>
  <c r="BD3" i="8"/>
  <c r="BD39" i="6"/>
  <c r="BD99" i="6"/>
  <c r="BD59" i="6"/>
  <c r="BD3" i="6"/>
  <c r="BD74" i="6"/>
  <c r="BD81" i="6"/>
  <c r="BD87" i="6"/>
  <c r="BD314" i="6"/>
  <c r="BB141" i="6"/>
  <c r="BB162" i="6"/>
  <c r="BC40" i="12"/>
  <c r="BC32" i="12"/>
  <c r="BC13" i="10"/>
  <c r="BC14" i="10" s="1"/>
  <c r="BC26" i="31"/>
  <c r="BD11" i="21"/>
  <c r="BD13" i="21" s="1"/>
  <c r="BC29" i="9"/>
  <c r="BD26" i="31" l="1"/>
  <c r="BE11" i="21"/>
  <c r="BD29" i="9"/>
  <c r="V14" i="16"/>
  <c r="V28" i="16"/>
  <c r="V20" i="34" s="1"/>
  <c r="BB34" i="15"/>
  <c r="BB49" i="15"/>
  <c r="BB27" i="14"/>
  <c r="BB9" i="28" s="1"/>
  <c r="BB12" i="14"/>
  <c r="BC162" i="6"/>
  <c r="BC141" i="6"/>
  <c r="BE3" i="40"/>
  <c r="BE3" i="37"/>
  <c r="BE3" i="34"/>
  <c r="BE3" i="31"/>
  <c r="BE3" i="28"/>
  <c r="BE3" i="22"/>
  <c r="BE3" i="21"/>
  <c r="BE3" i="20"/>
  <c r="BE3" i="19"/>
  <c r="BE3" i="18"/>
  <c r="BE3" i="17"/>
  <c r="BE3" i="16"/>
  <c r="BE3" i="15"/>
  <c r="BE3" i="14"/>
  <c r="BE3" i="13"/>
  <c r="BE3" i="10"/>
  <c r="BE3" i="8"/>
  <c r="BE3" i="12"/>
  <c r="BE3" i="11"/>
  <c r="BE3" i="7"/>
  <c r="BE3" i="9"/>
  <c r="BE39" i="6"/>
  <c r="BE99" i="6"/>
  <c r="BE3" i="6"/>
  <c r="BE59" i="6"/>
  <c r="BE79" i="6"/>
  <c r="BE9" i="37"/>
  <c r="BE17" i="12"/>
  <c r="BE22" i="10"/>
  <c r="BE42" i="10"/>
  <c r="BE13" i="21"/>
  <c r="BB19" i="37"/>
  <c r="BC83" i="12"/>
  <c r="BC85" i="12" s="1"/>
  <c r="BC224" i="6"/>
  <c r="BC203" i="6"/>
  <c r="U10" i="37"/>
  <c r="V20" i="10"/>
  <c r="U24" i="12"/>
  <c r="U26" i="12" s="1"/>
  <c r="U31" i="12" s="1"/>
  <c r="BE47" i="6"/>
  <c r="BE34" i="6"/>
  <c r="BE41" i="6"/>
  <c r="BE14" i="37"/>
  <c r="BE72" i="12"/>
  <c r="BE64" i="12"/>
  <c r="BE76" i="12"/>
  <c r="BE77" i="12" s="1"/>
  <c r="U16" i="19"/>
  <c r="U17" i="19" s="1"/>
  <c r="U20" i="15"/>
  <c r="U42" i="15"/>
  <c r="U25" i="11"/>
  <c r="BE59" i="20"/>
  <c r="BE53" i="20"/>
  <c r="BE54" i="20" s="1"/>
  <c r="BE58" i="20" s="1"/>
  <c r="BE283" i="6"/>
  <c r="BE250" i="6"/>
  <c r="BE234" i="6"/>
  <c r="BE242" i="6"/>
  <c r="BE183" i="6"/>
  <c r="BE290" i="6"/>
  <c r="BE291" i="6" s="1"/>
  <c r="BE18" i="6"/>
  <c r="BE19" i="6" s="1"/>
  <c r="BE2" i="4" s="1"/>
  <c r="BE121" i="6"/>
  <c r="BE101" i="6"/>
  <c r="BE107" i="6"/>
  <c r="BE94" i="6"/>
  <c r="T46" i="17"/>
  <c r="T47" i="17" s="1"/>
  <c r="T33" i="17"/>
  <c r="T42" i="17"/>
  <c r="T16" i="28" s="1"/>
  <c r="BD18" i="37"/>
  <c r="BD22" i="13"/>
  <c r="BD30" i="13"/>
  <c r="BD84" i="12"/>
  <c r="BD62" i="12"/>
  <c r="T27" i="18"/>
  <c r="T28" i="18" s="1"/>
  <c r="T40" i="18"/>
  <c r="T41" i="18" s="1"/>
  <c r="U16" i="37"/>
  <c r="U71" i="12"/>
  <c r="U73" i="12" s="1"/>
  <c r="U63" i="12"/>
  <c r="U65" i="12" s="1"/>
  <c r="BD40" i="12"/>
  <c r="BD32" i="12"/>
  <c r="BD13" i="10"/>
  <c r="BD14" i="10" s="1"/>
  <c r="T39" i="16"/>
  <c r="T40" i="16" s="1"/>
  <c r="BD2" i="40"/>
  <c r="BD2" i="37"/>
  <c r="BD2" i="34"/>
  <c r="BD2" i="31"/>
  <c r="BD2" i="22"/>
  <c r="BD2" i="21"/>
  <c r="BD2" i="28"/>
  <c r="BD60" i="20"/>
  <c r="BD61" i="20" s="1"/>
  <c r="BD67" i="20" s="1"/>
  <c r="BD2" i="20"/>
  <c r="BD2" i="19"/>
  <c r="BD2" i="18"/>
  <c r="BD2" i="17"/>
  <c r="BD2" i="16"/>
  <c r="BD2" i="15"/>
  <c r="BD2" i="13"/>
  <c r="BD2" i="14"/>
  <c r="BD2" i="12"/>
  <c r="BD2" i="11"/>
  <c r="BD2" i="10"/>
  <c r="BD2" i="9"/>
  <c r="BD241" i="6"/>
  <c r="BD243" i="6" s="1"/>
  <c r="BD20" i="16" s="1"/>
  <c r="BD176" i="6"/>
  <c r="BD177" i="6" s="1"/>
  <c r="BD282" i="6"/>
  <c r="BD284" i="6" s="1"/>
  <c r="BD276" i="6" s="1"/>
  <c r="BD277" i="6" s="1"/>
  <c r="BD270" i="6" s="1"/>
  <c r="BD249" i="6"/>
  <c r="BD251" i="6" s="1"/>
  <c r="BD21" i="18" s="1"/>
  <c r="BD2" i="8"/>
  <c r="BD2" i="7"/>
  <c r="BD233" i="6"/>
  <c r="BD235" i="6" s="1"/>
  <c r="BD21" i="17" s="1"/>
  <c r="BD313" i="6"/>
  <c r="BD319" i="6"/>
  <c r="BD321" i="6" s="1"/>
  <c r="BD182" i="6"/>
  <c r="BD184" i="6" s="1"/>
  <c r="BD189" i="6" s="1"/>
  <c r="BD190" i="6" s="1"/>
  <c r="BD194" i="6" s="1"/>
  <c r="BD120" i="6"/>
  <c r="BD122" i="6" s="1"/>
  <c r="BD127" i="6" s="1"/>
  <c r="BD128" i="6" s="1"/>
  <c r="BD132" i="6" s="1"/>
  <c r="BD32" i="6"/>
  <c r="BD114" i="6"/>
  <c r="BD115" i="6" s="1"/>
  <c r="BD92" i="6"/>
  <c r="BD209" i="6"/>
  <c r="BD52" i="6"/>
  <c r="BD147" i="6"/>
  <c r="BD72" i="6"/>
  <c r="BD2" i="6"/>
  <c r="BC8" i="37"/>
  <c r="BC41" i="10"/>
  <c r="BC43" i="10" s="1"/>
  <c r="BC25" i="14" s="1"/>
  <c r="BC26" i="14" s="1"/>
  <c r="BC16" i="12"/>
  <c r="BC34" i="10"/>
  <c r="BC21" i="10"/>
  <c r="BF4" i="40"/>
  <c r="BF4" i="37"/>
  <c r="BF4" i="34"/>
  <c r="BF4" i="31"/>
  <c r="BF4" i="28"/>
  <c r="BF10" i="21"/>
  <c r="BF4" i="22"/>
  <c r="BF4" i="21"/>
  <c r="BF32" i="20"/>
  <c r="BF4" i="20"/>
  <c r="BF10" i="18"/>
  <c r="BF4" i="19"/>
  <c r="BF28" i="19"/>
  <c r="BF74" i="20"/>
  <c r="BF4" i="17"/>
  <c r="BF4" i="18"/>
  <c r="BF4" i="16"/>
  <c r="BF10" i="17"/>
  <c r="BF40" i="15"/>
  <c r="BF10" i="16"/>
  <c r="BF27" i="15"/>
  <c r="BF4" i="14"/>
  <c r="BF27" i="13"/>
  <c r="BF82" i="12"/>
  <c r="BF4" i="15"/>
  <c r="BF69" i="12"/>
  <c r="BF4" i="13"/>
  <c r="BF59" i="12"/>
  <c r="BF18" i="12"/>
  <c r="BF46" i="12"/>
  <c r="BF4" i="12"/>
  <c r="BF23" i="11"/>
  <c r="BF4" i="11"/>
  <c r="BF19" i="10"/>
  <c r="BF12" i="10"/>
  <c r="BF4" i="10"/>
  <c r="BF19" i="13"/>
  <c r="BF346" i="6"/>
  <c r="BF347" i="6" s="1"/>
  <c r="BF296" i="6"/>
  <c r="BF297" i="6" s="1"/>
  <c r="BF4" i="8"/>
  <c r="BF259" i="6"/>
  <c r="BF4" i="7"/>
  <c r="BF336" i="6"/>
  <c r="BF337" i="6" s="1"/>
  <c r="BF275" i="6"/>
  <c r="BF35" i="9"/>
  <c r="BF351" i="6"/>
  <c r="BF352" i="6" s="1"/>
  <c r="BF301" i="6"/>
  <c r="BF302" i="6" s="1"/>
  <c r="BF4" i="9"/>
  <c r="BF320" i="6"/>
  <c r="BF312" i="6"/>
  <c r="BF126" i="6"/>
  <c r="BF100" i="6"/>
  <c r="BF46" i="6"/>
  <c r="BF331" i="6"/>
  <c r="BF332" i="6" s="1"/>
  <c r="BF202" i="6"/>
  <c r="BF106" i="6"/>
  <c r="BF53" i="6"/>
  <c r="BF23" i="6"/>
  <c r="BF24" i="6" s="1"/>
  <c r="BF3" i="4" s="1"/>
  <c r="BF10" i="9"/>
  <c r="BF188" i="6"/>
  <c r="BF60" i="6"/>
  <c r="BF66" i="6"/>
  <c r="BF73" i="6"/>
  <c r="BF80" i="6"/>
  <c r="BF140" i="6"/>
  <c r="BF86" i="6"/>
  <c r="BF33" i="6"/>
  <c r="BF11" i="6"/>
  <c r="BF12" i="6" s="1"/>
  <c r="BF40" i="6"/>
  <c r="BF93" i="6"/>
  <c r="BF4" i="6"/>
  <c r="BG28" i="6"/>
  <c r="BG4" i="4" s="1"/>
  <c r="BF35" i="10"/>
  <c r="BE314" i="6"/>
  <c r="BE74" i="6"/>
  <c r="BE81" i="6"/>
  <c r="BE87" i="6"/>
  <c r="BC54" i="6"/>
  <c r="BC61" i="6"/>
  <c r="BC67" i="6"/>
  <c r="BF53" i="20" l="1"/>
  <c r="BF54" i="20" s="1"/>
  <c r="BF58" i="20" s="1"/>
  <c r="BF59" i="20"/>
  <c r="BF250" i="6"/>
  <c r="BF234" i="6"/>
  <c r="BF242" i="6"/>
  <c r="BF290" i="6"/>
  <c r="BF291" i="6" s="1"/>
  <c r="BF183" i="6"/>
  <c r="BF283" i="6"/>
  <c r="BF121" i="6"/>
  <c r="BF18" i="6"/>
  <c r="BF19" i="6" s="1"/>
  <c r="BF2" i="4" s="1"/>
  <c r="T14" i="18"/>
  <c r="T29" i="18"/>
  <c r="T22" i="34" s="1"/>
  <c r="BF74" i="6"/>
  <c r="BF81" i="6"/>
  <c r="BF87" i="6"/>
  <c r="BE18" i="37"/>
  <c r="BE62" i="12"/>
  <c r="BE22" i="13"/>
  <c r="BE30" i="13"/>
  <c r="BE84" i="12"/>
  <c r="BF13" i="21"/>
  <c r="BD224" i="6"/>
  <c r="BD203" i="6"/>
  <c r="T48" i="17"/>
  <c r="T23" i="34" s="1"/>
  <c r="T34" i="17"/>
  <c r="T35" i="17" s="1"/>
  <c r="T13" i="17" s="1"/>
  <c r="T15" i="17" s="1"/>
  <c r="U21" i="19"/>
  <c r="U21" i="15"/>
  <c r="W22" i="15" s="1"/>
  <c r="U43" i="15"/>
  <c r="U45" i="15" s="1"/>
  <c r="BC19" i="37"/>
  <c r="BD83" i="12"/>
  <c r="BD85" i="12" s="1"/>
  <c r="BD54" i="6"/>
  <c r="BD61" i="6"/>
  <c r="BD67" i="6"/>
  <c r="U15" i="37"/>
  <c r="V60" i="12"/>
  <c r="U17" i="37"/>
  <c r="V70" i="12"/>
  <c r="U17" i="11"/>
  <c r="U18" i="11" s="1"/>
  <c r="BE61" i="20"/>
  <c r="BE67" i="20" s="1"/>
  <c r="BE26" i="31"/>
  <c r="BF11" i="21"/>
  <c r="BE29" i="9"/>
  <c r="BF9" i="37"/>
  <c r="BF17" i="12"/>
  <c r="BF22" i="10"/>
  <c r="BF42" i="10"/>
  <c r="BC49" i="15"/>
  <c r="BC34" i="15"/>
  <c r="BC12" i="14"/>
  <c r="BC27" i="14"/>
  <c r="BC9" i="28" s="1"/>
  <c r="BE2" i="40"/>
  <c r="BE2" i="37"/>
  <c r="BE2" i="34"/>
  <c r="BE2" i="31"/>
  <c r="BE2" i="28"/>
  <c r="BE2" i="22"/>
  <c r="BE2" i="21"/>
  <c r="BE60" i="20"/>
  <c r="BE2" i="20"/>
  <c r="BE2" i="19"/>
  <c r="BE2" i="18"/>
  <c r="BE2" i="17"/>
  <c r="BE2" i="16"/>
  <c r="BE2" i="14"/>
  <c r="BE2" i="15"/>
  <c r="BE2" i="13"/>
  <c r="BE2" i="12"/>
  <c r="BE2" i="11"/>
  <c r="BE2" i="10"/>
  <c r="BE2" i="8"/>
  <c r="BE282" i="6"/>
  <c r="BE284" i="6" s="1"/>
  <c r="BE276" i="6" s="1"/>
  <c r="BE277" i="6" s="1"/>
  <c r="BE270" i="6" s="1"/>
  <c r="BE249" i="6"/>
  <c r="BE251" i="6" s="1"/>
  <c r="BE21" i="18" s="1"/>
  <c r="BE2" i="7"/>
  <c r="BE233" i="6"/>
  <c r="BE235" i="6" s="1"/>
  <c r="BE21" i="17" s="1"/>
  <c r="BE319" i="6"/>
  <c r="BE321" i="6" s="1"/>
  <c r="BE313" i="6"/>
  <c r="BF314" i="6" s="1"/>
  <c r="BE182" i="6"/>
  <c r="BE184" i="6" s="1"/>
  <c r="BE189" i="6" s="1"/>
  <c r="BE190" i="6" s="1"/>
  <c r="BE194" i="6" s="1"/>
  <c r="BE120" i="6"/>
  <c r="BE122" i="6" s="1"/>
  <c r="BE127" i="6" s="1"/>
  <c r="BE128" i="6" s="1"/>
  <c r="BE132" i="6" s="1"/>
  <c r="BE114" i="6"/>
  <c r="BE115" i="6" s="1"/>
  <c r="BE92" i="6"/>
  <c r="BE2" i="9"/>
  <c r="BE209" i="6"/>
  <c r="BE52" i="6"/>
  <c r="BE241" i="6"/>
  <c r="BE243" i="6" s="1"/>
  <c r="BE20" i="16" s="1"/>
  <c r="BE147" i="6"/>
  <c r="BE176" i="6"/>
  <c r="BE177" i="6" s="1"/>
  <c r="BE72" i="6"/>
  <c r="BE32" i="6"/>
  <c r="BE2" i="6"/>
  <c r="BG4" i="40"/>
  <c r="BG4" i="37"/>
  <c r="BG4" i="34"/>
  <c r="BG4" i="31"/>
  <c r="BG4" i="28"/>
  <c r="BG4" i="22"/>
  <c r="BG74" i="20"/>
  <c r="BG4" i="21"/>
  <c r="BG10" i="21"/>
  <c r="BG32" i="20"/>
  <c r="BG4" i="20"/>
  <c r="BG10" i="18"/>
  <c r="BG4" i="19"/>
  <c r="BG28" i="19"/>
  <c r="BG4" i="16"/>
  <c r="BG4" i="17"/>
  <c r="BG10" i="17"/>
  <c r="BG10" i="16"/>
  <c r="BG40" i="15"/>
  <c r="BG4" i="15"/>
  <c r="BG27" i="15"/>
  <c r="BG4" i="18"/>
  <c r="BG4" i="14"/>
  <c r="BG59" i="12"/>
  <c r="BG18" i="12"/>
  <c r="BG82" i="12"/>
  <c r="BG27" i="13"/>
  <c r="BG19" i="13"/>
  <c r="BG69" i="12"/>
  <c r="BG46" i="12"/>
  <c r="BG4" i="13"/>
  <c r="BG4" i="11"/>
  <c r="BG19" i="10"/>
  <c r="BG12" i="10"/>
  <c r="BG4" i="10"/>
  <c r="BG4" i="8"/>
  <c r="BG259" i="6"/>
  <c r="BG4" i="7"/>
  <c r="BG336" i="6"/>
  <c r="BG337" i="6" s="1"/>
  <c r="BG275" i="6"/>
  <c r="BG35" i="9"/>
  <c r="BG351" i="6"/>
  <c r="BG352" i="6" s="1"/>
  <c r="BG301" i="6"/>
  <c r="BG302" i="6" s="1"/>
  <c r="BG4" i="9"/>
  <c r="BG320" i="6"/>
  <c r="BG4" i="12"/>
  <c r="BG312" i="6"/>
  <c r="BG23" i="11"/>
  <c r="BG10" i="9"/>
  <c r="BG331" i="6"/>
  <c r="BG332" i="6" s="1"/>
  <c r="BG188" i="6"/>
  <c r="BG202" i="6"/>
  <c r="BG106" i="6"/>
  <c r="BG53" i="6"/>
  <c r="BG60" i="6"/>
  <c r="BG296" i="6"/>
  <c r="BG297" i="6" s="1"/>
  <c r="BG66" i="6"/>
  <c r="BG73" i="6"/>
  <c r="BG80" i="6"/>
  <c r="BG346" i="6"/>
  <c r="BG347" i="6" s="1"/>
  <c r="BG140" i="6"/>
  <c r="BG86" i="6"/>
  <c r="BG93" i="6"/>
  <c r="BG40" i="6"/>
  <c r="BH28" i="6"/>
  <c r="BH4" i="4" s="1"/>
  <c r="BG33" i="6"/>
  <c r="BG126" i="6"/>
  <c r="BG23" i="6"/>
  <c r="BG24" i="6" s="1"/>
  <c r="BG3" i="4" s="1"/>
  <c r="BG4" i="6"/>
  <c r="BG11" i="6"/>
  <c r="BG12" i="6" s="1"/>
  <c r="BG100" i="6"/>
  <c r="BG46" i="6"/>
  <c r="BG35" i="10"/>
  <c r="BF107" i="6"/>
  <c r="BF94" i="6"/>
  <c r="BF101" i="6"/>
  <c r="T41" i="16"/>
  <c r="T17" i="28" s="1"/>
  <c r="T45" i="16"/>
  <c r="T46" i="16" s="1"/>
  <c r="T32" i="16"/>
  <c r="BE40" i="12"/>
  <c r="BE13" i="10"/>
  <c r="BE14" i="10" s="1"/>
  <c r="BE32" i="12"/>
  <c r="V28" i="10"/>
  <c r="BF3" i="40"/>
  <c r="BF3" i="37"/>
  <c r="BF3" i="34"/>
  <c r="BF3" i="31"/>
  <c r="BF3" i="28"/>
  <c r="BF3" i="21"/>
  <c r="BF3" i="22"/>
  <c r="BF3" i="20"/>
  <c r="BF3" i="18"/>
  <c r="BF3" i="19"/>
  <c r="BF3" i="17"/>
  <c r="BF3" i="16"/>
  <c r="BF3" i="15"/>
  <c r="BF3" i="13"/>
  <c r="BF3" i="14"/>
  <c r="BF3" i="12"/>
  <c r="BF3" i="11"/>
  <c r="BF3" i="9"/>
  <c r="BF3" i="10"/>
  <c r="BF3" i="8"/>
  <c r="BF99" i="6"/>
  <c r="BF3" i="6"/>
  <c r="BF59" i="6"/>
  <c r="BF3" i="7"/>
  <c r="BF79" i="6"/>
  <c r="BF39" i="6"/>
  <c r="BF41" i="6"/>
  <c r="BF47" i="6"/>
  <c r="BF34" i="6"/>
  <c r="BF14" i="37"/>
  <c r="BF76" i="12"/>
  <c r="BF77" i="12" s="1"/>
  <c r="BF64" i="12"/>
  <c r="BF72" i="12"/>
  <c r="BD162" i="6"/>
  <c r="BD141" i="6"/>
  <c r="BD8" i="37"/>
  <c r="BD16" i="12"/>
  <c r="BD41" i="10"/>
  <c r="BD43" i="10" s="1"/>
  <c r="BD25" i="14" s="1"/>
  <c r="BD26" i="14" s="1"/>
  <c r="BD34" i="10"/>
  <c r="BD21" i="10"/>
  <c r="T46" i="18"/>
  <c r="T47" i="18" s="1"/>
  <c r="T42" i="18"/>
  <c r="T18" i="28" s="1"/>
  <c r="T33" i="18"/>
  <c r="U10" i="31" l="1"/>
  <c r="V41" i="15"/>
  <c r="W8" i="34"/>
  <c r="W44" i="15"/>
  <c r="T16" i="31"/>
  <c r="U11" i="17"/>
  <c r="BD49" i="15"/>
  <c r="BD27" i="14"/>
  <c r="BD9" i="28" s="1"/>
  <c r="BD12" i="14"/>
  <c r="BD34" i="15"/>
  <c r="BE8" i="37"/>
  <c r="BE16" i="12"/>
  <c r="BE34" i="10"/>
  <c r="BE21" i="10"/>
  <c r="BE41" i="10"/>
  <c r="BE43" i="10" s="1"/>
  <c r="BE25" i="14" s="1"/>
  <c r="BE26" i="14" s="1"/>
  <c r="BF40" i="12"/>
  <c r="BF32" i="12"/>
  <c r="BF13" i="10"/>
  <c r="BF14" i="10" s="1"/>
  <c r="BG59" i="20"/>
  <c r="BG53" i="20"/>
  <c r="BG54" i="20" s="1"/>
  <c r="BG58" i="20" s="1"/>
  <c r="BG234" i="6"/>
  <c r="BG242" i="6"/>
  <c r="BG290" i="6"/>
  <c r="BG291" i="6" s="1"/>
  <c r="BG283" i="6"/>
  <c r="BG250" i="6"/>
  <c r="BG183" i="6"/>
  <c r="BG121" i="6"/>
  <c r="BG18" i="6"/>
  <c r="BG19" i="6" s="1"/>
  <c r="BG2" i="4" s="1"/>
  <c r="BG74" i="6"/>
  <c r="BG81" i="6"/>
  <c r="BG87" i="6"/>
  <c r="BE162" i="6"/>
  <c r="BE141" i="6"/>
  <c r="BF26" i="31"/>
  <c r="BG11" i="21"/>
  <c r="BG13" i="21" s="1"/>
  <c r="BF29" i="9"/>
  <c r="BF18" i="37"/>
  <c r="BF62" i="12"/>
  <c r="BF22" i="13"/>
  <c r="BF30" i="13"/>
  <c r="BF84" i="12"/>
  <c r="T47" i="16"/>
  <c r="T24" i="34" s="1"/>
  <c r="T33" i="16"/>
  <c r="T34" i="16" s="1"/>
  <c r="T13" i="16" s="1"/>
  <c r="T15" i="16" s="1"/>
  <c r="BG3" i="40"/>
  <c r="BG3" i="37"/>
  <c r="BG3" i="34"/>
  <c r="BG3" i="31"/>
  <c r="BG3" i="28"/>
  <c r="BG3" i="22"/>
  <c r="BG3" i="21"/>
  <c r="BG3" i="18"/>
  <c r="BG3" i="19"/>
  <c r="BG3" i="20"/>
  <c r="BG3" i="17"/>
  <c r="BG3" i="16"/>
  <c r="BG3" i="14"/>
  <c r="BG3" i="15"/>
  <c r="BG3" i="13"/>
  <c r="BG3" i="12"/>
  <c r="BG3" i="11"/>
  <c r="BG3" i="10"/>
  <c r="BG3" i="9"/>
  <c r="BG3" i="8"/>
  <c r="BG3" i="7"/>
  <c r="BG99" i="6"/>
  <c r="BG59" i="6"/>
  <c r="BG79" i="6"/>
  <c r="BG3" i="6"/>
  <c r="BG39" i="6"/>
  <c r="BE203" i="6"/>
  <c r="BE224" i="6"/>
  <c r="U8" i="28"/>
  <c r="U19" i="16"/>
  <c r="U21" i="16" s="1"/>
  <c r="U26" i="11"/>
  <c r="U27" i="11" s="1"/>
  <c r="BF2" i="40"/>
  <c r="BF2" i="37"/>
  <c r="BF2" i="34"/>
  <c r="BF2" i="31"/>
  <c r="BF2" i="28"/>
  <c r="BF2" i="22"/>
  <c r="BF2" i="21"/>
  <c r="BF60" i="20"/>
  <c r="BF61" i="20" s="1"/>
  <c r="BF67" i="20" s="1"/>
  <c r="BF2" i="20"/>
  <c r="BF2" i="19"/>
  <c r="BF2" i="18"/>
  <c r="BF2" i="17"/>
  <c r="BF2" i="16"/>
  <c r="BF2" i="14"/>
  <c r="BF2" i="15"/>
  <c r="BF2" i="13"/>
  <c r="BF2" i="11"/>
  <c r="BF2" i="12"/>
  <c r="BF2" i="10"/>
  <c r="BF282" i="6"/>
  <c r="BF284" i="6" s="1"/>
  <c r="BF276" i="6" s="1"/>
  <c r="BF277" i="6" s="1"/>
  <c r="BF270" i="6" s="1"/>
  <c r="BF249" i="6"/>
  <c r="BF251" i="6" s="1"/>
  <c r="BF21" i="18" s="1"/>
  <c r="BF2" i="8"/>
  <c r="BF2" i="7"/>
  <c r="BF233" i="6"/>
  <c r="BF235" i="6" s="1"/>
  <c r="BF21" i="17" s="1"/>
  <c r="BF209" i="6"/>
  <c r="BF319" i="6"/>
  <c r="BF321" i="6" s="1"/>
  <c r="BF313" i="6"/>
  <c r="BG314" i="6" s="1"/>
  <c r="BF2" i="9"/>
  <c r="BF241" i="6"/>
  <c r="BF243" i="6" s="1"/>
  <c r="BF20" i="16" s="1"/>
  <c r="BF182" i="6"/>
  <c r="BF184" i="6" s="1"/>
  <c r="BF189" i="6" s="1"/>
  <c r="BF190" i="6" s="1"/>
  <c r="BF194" i="6" s="1"/>
  <c r="BF114" i="6"/>
  <c r="BF115" i="6" s="1"/>
  <c r="BF92" i="6"/>
  <c r="BF52" i="6"/>
  <c r="BF147" i="6"/>
  <c r="BF176" i="6"/>
  <c r="BF177" i="6" s="1"/>
  <c r="BF72" i="6"/>
  <c r="BF120" i="6"/>
  <c r="BF122" i="6" s="1"/>
  <c r="BF127" i="6" s="1"/>
  <c r="BF128" i="6" s="1"/>
  <c r="BF132" i="6" s="1"/>
  <c r="BF32" i="6"/>
  <c r="BF2" i="6"/>
  <c r="BG47" i="6"/>
  <c r="BG34" i="6"/>
  <c r="BG41" i="6"/>
  <c r="BG9" i="37"/>
  <c r="BG17" i="12"/>
  <c r="BG22" i="10"/>
  <c r="BG42" i="10"/>
  <c r="BG94" i="6"/>
  <c r="BG101" i="6"/>
  <c r="BG107" i="6"/>
  <c r="BE54" i="6"/>
  <c r="BE61" i="6"/>
  <c r="BE67" i="6"/>
  <c r="BD19" i="37"/>
  <c r="BE83" i="12"/>
  <c r="BE85" i="12" s="1"/>
  <c r="T48" i="18"/>
  <c r="T25" i="34" s="1"/>
  <c r="T34" i="18"/>
  <c r="T35" i="18" s="1"/>
  <c r="T13" i="18" s="1"/>
  <c r="T15" i="18" s="1"/>
  <c r="BH4" i="40"/>
  <c r="BH4" i="37"/>
  <c r="BH4" i="34"/>
  <c r="BH4" i="31"/>
  <c r="BH4" i="28"/>
  <c r="BH10" i="21"/>
  <c r="BH4" i="22"/>
  <c r="BH74" i="20"/>
  <c r="BH32" i="20"/>
  <c r="BH4" i="21"/>
  <c r="BH28" i="19"/>
  <c r="BH4" i="20"/>
  <c r="BH4" i="19"/>
  <c r="BH4" i="18"/>
  <c r="BH10" i="18"/>
  <c r="BH4" i="17"/>
  <c r="BH10" i="17"/>
  <c r="BH10" i="16"/>
  <c r="BH27" i="15"/>
  <c r="BH4" i="14"/>
  <c r="BH40" i="15"/>
  <c r="BH4" i="16"/>
  <c r="BH4" i="15"/>
  <c r="BH19" i="13"/>
  <c r="BH4" i="13"/>
  <c r="BH59" i="12"/>
  <c r="BH82" i="12"/>
  <c r="BH27" i="13"/>
  <c r="BH69" i="12"/>
  <c r="BH12" i="10"/>
  <c r="BH4" i="10"/>
  <c r="BH4" i="9"/>
  <c r="BH4" i="7"/>
  <c r="BH35" i="9"/>
  <c r="BH46" i="12"/>
  <c r="BH18" i="12"/>
  <c r="BH10" i="9"/>
  <c r="BH4" i="12"/>
  <c r="BH23" i="11"/>
  <c r="BH336" i="6"/>
  <c r="BH337" i="6" s="1"/>
  <c r="BH275" i="6"/>
  <c r="BH351" i="6"/>
  <c r="BH352" i="6" s="1"/>
  <c r="BH301" i="6"/>
  <c r="BH302" i="6" s="1"/>
  <c r="BH4" i="11"/>
  <c r="BH320" i="6"/>
  <c r="BH19" i="10"/>
  <c r="BH202" i="6"/>
  <c r="BH312" i="6"/>
  <c r="BH331" i="6"/>
  <c r="BH332" i="6" s="1"/>
  <c r="BH346" i="6"/>
  <c r="BH347" i="6" s="1"/>
  <c r="BH296" i="6"/>
  <c r="BH297" i="6" s="1"/>
  <c r="BH60" i="6"/>
  <c r="BH259" i="6"/>
  <c r="BH188" i="6"/>
  <c r="BH66" i="6"/>
  <c r="BH73" i="6"/>
  <c r="BH4" i="8"/>
  <c r="BH80" i="6"/>
  <c r="BH140" i="6"/>
  <c r="BH86" i="6"/>
  <c r="BH93" i="6"/>
  <c r="BH126" i="6"/>
  <c r="BH100" i="6"/>
  <c r="BH46" i="6"/>
  <c r="BH23" i="6"/>
  <c r="BH24" i="6" s="1"/>
  <c r="BH3" i="4" s="1"/>
  <c r="BH4" i="6"/>
  <c r="BH11" i="6"/>
  <c r="BH12" i="6" s="1"/>
  <c r="BH106" i="6"/>
  <c r="BH53" i="6"/>
  <c r="BI28" i="6"/>
  <c r="BI4" i="4" s="1"/>
  <c r="BH40" i="6"/>
  <c r="BH33" i="6"/>
  <c r="BH35" i="10"/>
  <c r="BG14" i="37"/>
  <c r="BG76" i="12"/>
  <c r="BG77" i="12" s="1"/>
  <c r="BG64" i="12"/>
  <c r="BG72" i="12"/>
  <c r="V27" i="10"/>
  <c r="V29" i="10" s="1"/>
  <c r="BG26" i="31" l="1"/>
  <c r="BH11" i="21"/>
  <c r="BG29" i="9"/>
  <c r="T18" i="31"/>
  <c r="U11" i="18"/>
  <c r="BI4" i="40"/>
  <c r="BI4" i="37"/>
  <c r="BI4" i="34"/>
  <c r="BI4" i="31"/>
  <c r="BI4" i="28"/>
  <c r="BI4" i="22"/>
  <c r="BI4" i="21"/>
  <c r="BI10" i="21"/>
  <c r="BI4" i="20"/>
  <c r="BI32" i="20"/>
  <c r="BI28" i="19"/>
  <c r="BI74" i="20"/>
  <c r="BI4" i="19"/>
  <c r="BI4" i="18"/>
  <c r="BI10" i="18"/>
  <c r="BI4" i="17"/>
  <c r="BI4" i="16"/>
  <c r="BI40" i="15"/>
  <c r="BI10" i="16"/>
  <c r="BI10" i="17"/>
  <c r="BI4" i="15"/>
  <c r="BI27" i="15"/>
  <c r="BI27" i="13"/>
  <c r="BI82" i="12"/>
  <c r="BI69" i="12"/>
  <c r="BI19" i="13"/>
  <c r="BI46" i="12"/>
  <c r="BI4" i="13"/>
  <c r="BI4" i="14"/>
  <c r="BI59" i="12"/>
  <c r="BI12" i="10"/>
  <c r="BI4" i="10"/>
  <c r="BI35" i="9"/>
  <c r="BI4" i="8"/>
  <c r="BI18" i="12"/>
  <c r="BI4" i="12"/>
  <c r="BI23" i="11"/>
  <c r="BI4" i="11"/>
  <c r="BI19" i="10"/>
  <c r="BI4" i="7"/>
  <c r="BI351" i="6"/>
  <c r="BI352" i="6" s="1"/>
  <c r="BI301" i="6"/>
  <c r="BI302" i="6" s="1"/>
  <c r="BI320" i="6"/>
  <c r="BI4" i="9"/>
  <c r="BI202" i="6"/>
  <c r="BI312" i="6"/>
  <c r="BI331" i="6"/>
  <c r="BI332" i="6" s="1"/>
  <c r="BI10" i="9"/>
  <c r="BI346" i="6"/>
  <c r="BI347" i="6" s="1"/>
  <c r="BI296" i="6"/>
  <c r="BI297" i="6" s="1"/>
  <c r="BI259" i="6"/>
  <c r="BI188" i="6"/>
  <c r="BI66" i="6"/>
  <c r="BI73" i="6"/>
  <c r="BI80" i="6"/>
  <c r="BI4" i="6"/>
  <c r="BI140" i="6"/>
  <c r="BI86" i="6"/>
  <c r="BI33" i="6"/>
  <c r="BI93" i="6"/>
  <c r="BI336" i="6"/>
  <c r="BI337" i="6" s="1"/>
  <c r="BI275" i="6"/>
  <c r="BI126" i="6"/>
  <c r="BI100" i="6"/>
  <c r="BI46" i="6"/>
  <c r="BI106" i="6"/>
  <c r="BI53" i="6"/>
  <c r="BI23" i="6"/>
  <c r="BI24" i="6" s="1"/>
  <c r="BI3" i="4" s="1"/>
  <c r="BI60" i="6"/>
  <c r="BI11" i="6"/>
  <c r="BI12" i="6" s="1"/>
  <c r="BJ28" i="6"/>
  <c r="BJ4" i="4" s="1"/>
  <c r="BI40" i="6"/>
  <c r="BI35" i="10"/>
  <c r="BF54" i="6"/>
  <c r="BF61" i="6"/>
  <c r="BF67" i="6"/>
  <c r="BF8" i="37"/>
  <c r="BF34" i="10"/>
  <c r="BF16" i="12"/>
  <c r="BF21" i="10"/>
  <c r="BF41" i="10"/>
  <c r="BF43" i="10" s="1"/>
  <c r="BF25" i="14" s="1"/>
  <c r="BF26" i="14" s="1"/>
  <c r="U14" i="31"/>
  <c r="V24" i="11"/>
  <c r="T17" i="31"/>
  <c r="U11" i="16"/>
  <c r="BE49" i="15"/>
  <c r="BE34" i="15"/>
  <c r="BE12" i="14"/>
  <c r="BE27" i="14"/>
  <c r="BE9" i="28" s="1"/>
  <c r="BH59" i="20"/>
  <c r="BH53" i="20"/>
  <c r="BH54" i="20" s="1"/>
  <c r="BH58" i="20" s="1"/>
  <c r="BH234" i="6"/>
  <c r="BH242" i="6"/>
  <c r="BH183" i="6"/>
  <c r="BH290" i="6"/>
  <c r="BH291" i="6" s="1"/>
  <c r="BH283" i="6"/>
  <c r="BH250" i="6"/>
  <c r="BH121" i="6"/>
  <c r="BH18" i="6"/>
  <c r="BH19" i="6" s="1"/>
  <c r="BH2" i="4" s="1"/>
  <c r="BH34" i="6"/>
  <c r="BH47" i="6"/>
  <c r="BH41" i="6"/>
  <c r="BE19" i="37"/>
  <c r="BF83" i="12"/>
  <c r="BF85" i="12" s="1"/>
  <c r="BF162" i="6"/>
  <c r="BF141" i="6"/>
  <c r="U19" i="34"/>
  <c r="U26" i="16"/>
  <c r="W27" i="16" s="1"/>
  <c r="U12" i="16"/>
  <c r="U40" i="17"/>
  <c r="U41" i="17" s="1"/>
  <c r="BH14" i="37"/>
  <c r="BH72" i="12"/>
  <c r="BH76" i="12"/>
  <c r="BH77" i="12" s="1"/>
  <c r="BH64" i="12"/>
  <c r="BH94" i="6"/>
  <c r="BH101" i="6"/>
  <c r="BH107" i="6"/>
  <c r="BH13" i="21"/>
  <c r="BG32" i="12"/>
  <c r="BG40" i="12"/>
  <c r="BG13" i="10"/>
  <c r="BG14" i="10" s="1"/>
  <c r="BH9" i="37"/>
  <c r="BH17" i="12"/>
  <c r="BH22" i="10"/>
  <c r="BH42" i="10"/>
  <c r="BG18" i="37"/>
  <c r="BG22" i="13"/>
  <c r="BG30" i="13"/>
  <c r="BG84" i="12"/>
  <c r="BG62" i="12"/>
  <c r="V53" i="12"/>
  <c r="V54" i="12" s="1"/>
  <c r="V11" i="11"/>
  <c r="V12" i="11" s="1"/>
  <c r="V23" i="10"/>
  <c r="V24" i="10" s="1"/>
  <c r="BH74" i="6"/>
  <c r="BH81" i="6"/>
  <c r="BH87" i="6"/>
  <c r="BH3" i="40"/>
  <c r="BH3" i="37"/>
  <c r="BH3" i="34"/>
  <c r="BH3" i="31"/>
  <c r="BH3" i="28"/>
  <c r="BH3" i="22"/>
  <c r="BH3" i="21"/>
  <c r="BH3" i="20"/>
  <c r="BH3" i="19"/>
  <c r="BH3" i="18"/>
  <c r="BH3" i="17"/>
  <c r="BH3" i="16"/>
  <c r="BH3" i="15"/>
  <c r="BH3" i="13"/>
  <c r="BH3" i="14"/>
  <c r="BH3" i="12"/>
  <c r="BH3" i="11"/>
  <c r="BH3" i="10"/>
  <c r="BH3" i="9"/>
  <c r="BH3" i="8"/>
  <c r="BH3" i="7"/>
  <c r="BH59" i="6"/>
  <c r="BH79" i="6"/>
  <c r="BH39" i="6"/>
  <c r="BH3" i="6"/>
  <c r="BH99" i="6"/>
  <c r="BF224" i="6"/>
  <c r="BF203" i="6"/>
  <c r="BG2" i="40"/>
  <c r="BG2" i="37"/>
  <c r="BG2" i="34"/>
  <c r="BG2" i="31"/>
  <c r="BG2" i="28"/>
  <c r="BG2" i="21"/>
  <c r="BG2" i="22"/>
  <c r="BG60" i="20"/>
  <c r="BG2" i="20"/>
  <c r="BG2" i="19"/>
  <c r="BG2" i="18"/>
  <c r="BG2" i="17"/>
  <c r="BG2" i="16"/>
  <c r="BG2" i="15"/>
  <c r="BG2" i="14"/>
  <c r="BG2" i="13"/>
  <c r="BG2" i="11"/>
  <c r="BG2" i="12"/>
  <c r="BG2" i="10"/>
  <c r="BG249" i="6"/>
  <c r="BG251" i="6" s="1"/>
  <c r="BG21" i="18" s="1"/>
  <c r="BG2" i="8"/>
  <c r="BG2" i="7"/>
  <c r="BG233" i="6"/>
  <c r="BG235" i="6" s="1"/>
  <c r="BG21" i="17" s="1"/>
  <c r="BG209" i="6"/>
  <c r="BG319" i="6"/>
  <c r="BG321" i="6" s="1"/>
  <c r="BG313" i="6"/>
  <c r="BH314" i="6" s="1"/>
  <c r="BG2" i="9"/>
  <c r="BG241" i="6"/>
  <c r="BG243" i="6" s="1"/>
  <c r="BG20" i="16" s="1"/>
  <c r="BG52" i="6"/>
  <c r="BG282" i="6"/>
  <c r="BG284" i="6" s="1"/>
  <c r="BG276" i="6" s="1"/>
  <c r="BG277" i="6" s="1"/>
  <c r="BG270" i="6" s="1"/>
  <c r="BG147" i="6"/>
  <c r="BG176" i="6"/>
  <c r="BG177" i="6" s="1"/>
  <c r="BG72" i="6"/>
  <c r="BG120" i="6"/>
  <c r="BG122" i="6" s="1"/>
  <c r="BG127" i="6" s="1"/>
  <c r="BG128" i="6" s="1"/>
  <c r="BG132" i="6" s="1"/>
  <c r="BG32" i="6"/>
  <c r="BG114" i="6"/>
  <c r="BG115" i="6" s="1"/>
  <c r="BG92" i="6"/>
  <c r="BG182" i="6"/>
  <c r="BG184" i="6" s="1"/>
  <c r="BG189" i="6" s="1"/>
  <c r="BG190" i="6" s="1"/>
  <c r="BG194" i="6" s="1"/>
  <c r="BG2" i="6"/>
  <c r="BG61" i="20"/>
  <c r="BG67" i="20" s="1"/>
  <c r="V16" i="19" l="1"/>
  <c r="V17" i="19" s="1"/>
  <c r="V20" i="15"/>
  <c r="V42" i="15"/>
  <c r="V25" i="11"/>
  <c r="BG8" i="37"/>
  <c r="BG34" i="10"/>
  <c r="BG16" i="12"/>
  <c r="BG21" i="10"/>
  <c r="BG41" i="10"/>
  <c r="BG43" i="10" s="1"/>
  <c r="BG25" i="14" s="1"/>
  <c r="BG26" i="14" s="1"/>
  <c r="BI59" i="20"/>
  <c r="BI53" i="20"/>
  <c r="BI54" i="20" s="1"/>
  <c r="BI58" i="20" s="1"/>
  <c r="BI242" i="6"/>
  <c r="BI183" i="6"/>
  <c r="BI290" i="6"/>
  <c r="BI291" i="6" s="1"/>
  <c r="BI283" i="6"/>
  <c r="BI250" i="6"/>
  <c r="BI121" i="6"/>
  <c r="BI18" i="6"/>
  <c r="BI19" i="6" s="1"/>
  <c r="BI2" i="4" s="1"/>
  <c r="BI234" i="6"/>
  <c r="V16" i="37"/>
  <c r="V63" i="12"/>
  <c r="V65" i="12" s="1"/>
  <c r="V71" i="12"/>
  <c r="V73" i="12" s="1"/>
  <c r="BF19" i="37"/>
  <c r="BG83" i="12"/>
  <c r="BG85" i="12" s="1"/>
  <c r="BH2" i="40"/>
  <c r="BH2" i="37"/>
  <c r="BH2" i="34"/>
  <c r="BH2" i="31"/>
  <c r="BH2" i="28"/>
  <c r="BH2" i="22"/>
  <c r="BH2" i="20"/>
  <c r="BH2" i="21"/>
  <c r="BH2" i="19"/>
  <c r="BH60" i="20"/>
  <c r="BH2" i="18"/>
  <c r="BH2" i="17"/>
  <c r="BH2" i="16"/>
  <c r="BH2" i="14"/>
  <c r="BH2" i="15"/>
  <c r="BH2" i="13"/>
  <c r="BH2" i="12"/>
  <c r="BH2" i="10"/>
  <c r="BH2" i="9"/>
  <c r="BH2" i="11"/>
  <c r="BH2" i="8"/>
  <c r="BH2" i="7"/>
  <c r="BH233" i="6"/>
  <c r="BH235" i="6" s="1"/>
  <c r="BH21" i="17" s="1"/>
  <c r="BH209" i="6"/>
  <c r="BH319" i="6"/>
  <c r="BH321" i="6" s="1"/>
  <c r="BH313" i="6"/>
  <c r="BI314" i="6" s="1"/>
  <c r="BH241" i="6"/>
  <c r="BH243" i="6" s="1"/>
  <c r="BH20" i="16" s="1"/>
  <c r="BH282" i="6"/>
  <c r="BH284" i="6" s="1"/>
  <c r="BH276" i="6" s="1"/>
  <c r="BH277" i="6" s="1"/>
  <c r="BH270" i="6" s="1"/>
  <c r="BH249" i="6"/>
  <c r="BH251" i="6" s="1"/>
  <c r="BH21" i="18" s="1"/>
  <c r="BH52" i="6"/>
  <c r="BH147" i="6"/>
  <c r="BH176" i="6"/>
  <c r="BH177" i="6" s="1"/>
  <c r="BH72" i="6"/>
  <c r="BH120" i="6"/>
  <c r="BH122" i="6" s="1"/>
  <c r="BH127" i="6" s="1"/>
  <c r="BH128" i="6" s="1"/>
  <c r="BH132" i="6" s="1"/>
  <c r="BH182" i="6"/>
  <c r="BH184" i="6" s="1"/>
  <c r="BH189" i="6" s="1"/>
  <c r="BH190" i="6" s="1"/>
  <c r="BH194" i="6" s="1"/>
  <c r="BH114" i="6"/>
  <c r="BH115" i="6" s="1"/>
  <c r="BH92" i="6"/>
  <c r="BH2" i="6"/>
  <c r="BH32" i="6"/>
  <c r="BH61" i="20"/>
  <c r="BH67" i="20" s="1"/>
  <c r="BI74" i="6"/>
  <c r="BI81" i="6"/>
  <c r="BI87" i="6"/>
  <c r="BH18" i="37"/>
  <c r="BH30" i="13"/>
  <c r="BH84" i="12"/>
  <c r="BH22" i="13"/>
  <c r="BH62" i="12"/>
  <c r="BI3" i="40"/>
  <c r="BI3" i="37"/>
  <c r="BI3" i="34"/>
  <c r="BI3" i="31"/>
  <c r="BI3" i="28"/>
  <c r="BI3" i="22"/>
  <c r="BI3" i="21"/>
  <c r="BI3" i="20"/>
  <c r="BI3" i="19"/>
  <c r="BI3" i="18"/>
  <c r="BI3" i="17"/>
  <c r="BI3" i="16"/>
  <c r="BI3" i="14"/>
  <c r="BI3" i="15"/>
  <c r="BI3" i="13"/>
  <c r="BI3" i="12"/>
  <c r="BI3" i="11"/>
  <c r="BI3" i="10"/>
  <c r="BI3" i="8"/>
  <c r="BI3" i="7"/>
  <c r="BI59" i="6"/>
  <c r="BI79" i="6"/>
  <c r="BI3" i="9"/>
  <c r="BI99" i="6"/>
  <c r="BI3" i="6"/>
  <c r="BI39" i="6"/>
  <c r="BG203" i="6"/>
  <c r="BG224" i="6"/>
  <c r="W28" i="16"/>
  <c r="W20" i="34" s="1"/>
  <c r="W14" i="16"/>
  <c r="U39" i="16"/>
  <c r="U40" i="16" s="1"/>
  <c r="BI14" i="37"/>
  <c r="BI76" i="12"/>
  <c r="BI77" i="12" s="1"/>
  <c r="BI72" i="12"/>
  <c r="BI64" i="12"/>
  <c r="BI9" i="37"/>
  <c r="BI22" i="10"/>
  <c r="BI17" i="12"/>
  <c r="BI42" i="10"/>
  <c r="BI34" i="6"/>
  <c r="BI41" i="6"/>
  <c r="BI47" i="6"/>
  <c r="BG61" i="6"/>
  <c r="BG67" i="6"/>
  <c r="BG54" i="6"/>
  <c r="BH26" i="31"/>
  <c r="BI11" i="21"/>
  <c r="BI13" i="21" s="1"/>
  <c r="BH29" i="9"/>
  <c r="BH40" i="12"/>
  <c r="BH13" i="10"/>
  <c r="BH14" i="10" s="1"/>
  <c r="BH32" i="12"/>
  <c r="BI94" i="6"/>
  <c r="BI101" i="6"/>
  <c r="BI107" i="6"/>
  <c r="BG162" i="6"/>
  <c r="BG141" i="6"/>
  <c r="U33" i="17"/>
  <c r="U46" i="17"/>
  <c r="U47" i="17" s="1"/>
  <c r="U42" i="17"/>
  <c r="U16" i="28" s="1"/>
  <c r="BF49" i="15"/>
  <c r="BF27" i="14"/>
  <c r="BF9" i="28" s="1"/>
  <c r="BF34" i="15"/>
  <c r="BF12" i="14"/>
  <c r="U27" i="18"/>
  <c r="U28" i="18" s="1"/>
  <c r="U40" i="18"/>
  <c r="U41" i="18" s="1"/>
  <c r="V10" i="37"/>
  <c r="W20" i="10"/>
  <c r="V24" i="12"/>
  <c r="V26" i="12" s="1"/>
  <c r="V31" i="12" s="1"/>
  <c r="V33" i="12" s="1"/>
  <c r="BJ4" i="40"/>
  <c r="BJ4" i="37"/>
  <c r="BJ4" i="34"/>
  <c r="BJ4" i="31"/>
  <c r="BJ4" i="28"/>
  <c r="BJ4" i="21"/>
  <c r="BJ10" i="21"/>
  <c r="BJ74" i="20"/>
  <c r="BJ4" i="22"/>
  <c r="BJ28" i="19"/>
  <c r="BJ4" i="20"/>
  <c r="BJ4" i="18"/>
  <c r="BJ32" i="20"/>
  <c r="BJ10" i="17"/>
  <c r="BJ10" i="18"/>
  <c r="BJ4" i="17"/>
  <c r="BJ4" i="19"/>
  <c r="BJ27" i="15"/>
  <c r="BJ10" i="16"/>
  <c r="BJ4" i="16"/>
  <c r="BJ40" i="15"/>
  <c r="BJ69" i="12"/>
  <c r="BJ4" i="15"/>
  <c r="BJ19" i="13"/>
  <c r="BJ4" i="13"/>
  <c r="BJ27" i="13"/>
  <c r="BJ4" i="14"/>
  <c r="BJ82" i="12"/>
  <c r="BJ4" i="12"/>
  <c r="BJ46" i="12"/>
  <c r="BJ59" i="12"/>
  <c r="BJ18" i="12"/>
  <c r="BJ23" i="11"/>
  <c r="BJ4" i="11"/>
  <c r="BJ19" i="10"/>
  <c r="BJ320" i="6"/>
  <c r="BJ35" i="9"/>
  <c r="BJ4" i="9"/>
  <c r="BJ202" i="6"/>
  <c r="BJ312" i="6"/>
  <c r="BJ331" i="6"/>
  <c r="BJ332" i="6" s="1"/>
  <c r="BJ188" i="6"/>
  <c r="BJ12" i="10"/>
  <c r="BJ4" i="10"/>
  <c r="BJ10" i="9"/>
  <c r="BJ346" i="6"/>
  <c r="BJ347" i="6" s="1"/>
  <c r="BJ296" i="6"/>
  <c r="BJ297" i="6" s="1"/>
  <c r="BJ259" i="6"/>
  <c r="BJ4" i="8"/>
  <c r="BJ336" i="6"/>
  <c r="BJ337" i="6" s="1"/>
  <c r="BJ275" i="6"/>
  <c r="BJ73" i="6"/>
  <c r="BJ351" i="6"/>
  <c r="BJ352" i="6" s="1"/>
  <c r="BJ80" i="6"/>
  <c r="BJ4" i="6"/>
  <c r="BJ140" i="6"/>
  <c r="BJ86" i="6"/>
  <c r="BJ33" i="6"/>
  <c r="BJ11" i="6"/>
  <c r="BJ12" i="6" s="1"/>
  <c r="BJ93" i="6"/>
  <c r="BJ40" i="6"/>
  <c r="BK28" i="6"/>
  <c r="BK4" i="4" s="1"/>
  <c r="BJ126" i="6"/>
  <c r="BJ100" i="6"/>
  <c r="BJ106" i="6"/>
  <c r="BJ53" i="6"/>
  <c r="BJ4" i="7"/>
  <c r="BJ301" i="6"/>
  <c r="BJ302" i="6" s="1"/>
  <c r="BJ60" i="6"/>
  <c r="BJ66" i="6"/>
  <c r="BJ23" i="6"/>
  <c r="BJ24" i="6" s="1"/>
  <c r="BJ3" i="4" s="1"/>
  <c r="BJ46" i="6"/>
  <c r="BJ35" i="10"/>
  <c r="BI26" i="31" l="1"/>
  <c r="BJ11" i="21"/>
  <c r="BI29" i="9"/>
  <c r="BJ14" i="37"/>
  <c r="BJ76" i="12"/>
  <c r="BJ77" i="12" s="1"/>
  <c r="BJ72" i="12"/>
  <c r="BJ64" i="12"/>
  <c r="U48" i="17"/>
  <c r="U23" i="34" s="1"/>
  <c r="U34" i="17"/>
  <c r="BH67" i="6"/>
  <c r="BH54" i="6"/>
  <c r="BH61" i="6"/>
  <c r="BJ3" i="37"/>
  <c r="BJ3" i="40"/>
  <c r="BJ3" i="34"/>
  <c r="BJ3" i="31"/>
  <c r="BJ3" i="28"/>
  <c r="BJ3" i="22"/>
  <c r="BJ3" i="21"/>
  <c r="BJ3" i="20"/>
  <c r="BJ3" i="19"/>
  <c r="BJ3" i="18"/>
  <c r="BJ3" i="17"/>
  <c r="BJ3" i="16"/>
  <c r="BJ3" i="15"/>
  <c r="BJ3" i="14"/>
  <c r="BJ3" i="11"/>
  <c r="BJ3" i="12"/>
  <c r="BJ3" i="10"/>
  <c r="BJ3" i="13"/>
  <c r="BJ3" i="8"/>
  <c r="BJ3" i="7"/>
  <c r="BJ3" i="9"/>
  <c r="BJ79" i="6"/>
  <c r="BJ99" i="6"/>
  <c r="BJ39" i="6"/>
  <c r="BJ59" i="6"/>
  <c r="BJ3" i="6"/>
  <c r="U35" i="17"/>
  <c r="U13" i="17" s="1"/>
  <c r="U15" i="17" s="1"/>
  <c r="U45" i="16"/>
  <c r="U46" i="16" s="1"/>
  <c r="U32" i="16"/>
  <c r="U41" i="16"/>
  <c r="U17" i="28" s="1"/>
  <c r="BH203" i="6"/>
  <c r="BH224" i="6"/>
  <c r="BG19" i="37"/>
  <c r="BH83" i="12"/>
  <c r="BH85" i="12" s="1"/>
  <c r="BI40" i="12"/>
  <c r="BI32" i="12"/>
  <c r="BI13" i="10"/>
  <c r="BI14" i="10" s="1"/>
  <c r="BK4" i="40"/>
  <c r="BK4" i="37"/>
  <c r="BK4" i="34"/>
  <c r="BK4" i="31"/>
  <c r="BK4" i="28"/>
  <c r="BK10" i="21"/>
  <c r="BK4" i="22"/>
  <c r="BK4" i="21"/>
  <c r="BK28" i="19"/>
  <c r="BK32" i="20"/>
  <c r="BK4" i="18"/>
  <c r="BK74" i="20"/>
  <c r="BK4" i="19"/>
  <c r="BK4" i="20"/>
  <c r="BK10" i="18"/>
  <c r="BK40" i="15"/>
  <c r="BK4" i="17"/>
  <c r="BK10" i="16"/>
  <c r="BK10" i="17"/>
  <c r="BK4" i="16"/>
  <c r="BK4" i="14"/>
  <c r="BK4" i="15"/>
  <c r="BK69" i="12"/>
  <c r="BK19" i="13"/>
  <c r="BK4" i="13"/>
  <c r="BK27" i="15"/>
  <c r="BK27" i="13"/>
  <c r="BK82" i="12"/>
  <c r="BK46" i="12"/>
  <c r="BK18" i="12"/>
  <c r="BK59" i="12"/>
  <c r="BK23" i="11"/>
  <c r="BK4" i="12"/>
  <c r="BK4" i="11"/>
  <c r="BK19" i="10"/>
  <c r="BK12" i="10"/>
  <c r="BK4" i="10"/>
  <c r="BK35" i="9"/>
  <c r="BK4" i="9"/>
  <c r="BK312" i="6"/>
  <c r="BK331" i="6"/>
  <c r="BK332" i="6" s="1"/>
  <c r="BK188" i="6"/>
  <c r="BK10" i="9"/>
  <c r="BK346" i="6"/>
  <c r="BK347" i="6" s="1"/>
  <c r="BK296" i="6"/>
  <c r="BK297" i="6" s="1"/>
  <c r="BK259" i="6"/>
  <c r="BK4" i="8"/>
  <c r="BK336" i="6"/>
  <c r="BK337" i="6" s="1"/>
  <c r="BK275" i="6"/>
  <c r="BK4" i="7"/>
  <c r="BK351" i="6"/>
  <c r="BK352" i="6" s="1"/>
  <c r="BK301" i="6"/>
  <c r="BK302" i="6" s="1"/>
  <c r="BK80" i="6"/>
  <c r="BK140" i="6"/>
  <c r="BK86" i="6"/>
  <c r="BK33" i="6"/>
  <c r="BK11" i="6"/>
  <c r="BK12" i="6" s="1"/>
  <c r="BK93" i="6"/>
  <c r="BK40" i="6"/>
  <c r="BL28" i="6"/>
  <c r="BL4" i="4" s="1"/>
  <c r="BK126" i="6"/>
  <c r="BK100" i="6"/>
  <c r="BK46" i="6"/>
  <c r="BK320" i="6"/>
  <c r="BK106" i="6"/>
  <c r="BK53" i="6"/>
  <c r="BK60" i="6"/>
  <c r="BK66" i="6"/>
  <c r="BK23" i="6"/>
  <c r="BK24" i="6" s="1"/>
  <c r="BK3" i="4" s="1"/>
  <c r="BK202" i="6"/>
  <c r="BK4" i="6"/>
  <c r="BK73" i="6"/>
  <c r="BK35" i="10"/>
  <c r="BI18" i="37"/>
  <c r="BI30" i="13"/>
  <c r="BI84" i="12"/>
  <c r="BI22" i="13"/>
  <c r="BI62" i="12"/>
  <c r="BJ94" i="6"/>
  <c r="BJ101" i="6"/>
  <c r="BJ107" i="6"/>
  <c r="BJ34" i="6"/>
  <c r="BJ41" i="6"/>
  <c r="BJ47" i="6"/>
  <c r="V17" i="37"/>
  <c r="W70" i="12"/>
  <c r="V17" i="11"/>
  <c r="V18" i="11" s="1"/>
  <c r="BJ53" i="20"/>
  <c r="BJ54" i="20" s="1"/>
  <c r="BJ58" i="20" s="1"/>
  <c r="BJ59" i="20"/>
  <c r="BJ242" i="6"/>
  <c r="BJ183" i="6"/>
  <c r="BJ290" i="6"/>
  <c r="BJ291" i="6" s="1"/>
  <c r="BJ283" i="6"/>
  <c r="BJ250" i="6"/>
  <c r="BJ234" i="6"/>
  <c r="BJ121" i="6"/>
  <c r="BJ18" i="6"/>
  <c r="BJ19" i="6" s="1"/>
  <c r="BJ2" i="4" s="1"/>
  <c r="BJ13" i="21"/>
  <c r="V11" i="37"/>
  <c r="V20" i="17"/>
  <c r="V22" i="17" s="1"/>
  <c r="V13" i="15"/>
  <c r="V14" i="15" s="1"/>
  <c r="V21" i="13"/>
  <c r="V23" i="13" s="1"/>
  <c r="V48" i="12"/>
  <c r="V50" i="12" s="1"/>
  <c r="V39" i="12"/>
  <c r="AB41" i="12" s="1"/>
  <c r="V17" i="9"/>
  <c r="V18" i="9" s="1"/>
  <c r="U33" i="18"/>
  <c r="U42" i="18"/>
  <c r="U18" i="28" s="1"/>
  <c r="U46" i="18"/>
  <c r="U47" i="18" s="1"/>
  <c r="BH162" i="6"/>
  <c r="BH141" i="6"/>
  <c r="V15" i="37"/>
  <c r="W60" i="12"/>
  <c r="BI2" i="40"/>
  <c r="BI2" i="37"/>
  <c r="BI2" i="34"/>
  <c r="BI2" i="31"/>
  <c r="BI2" i="28"/>
  <c r="BI2" i="21"/>
  <c r="BI2" i="22"/>
  <c r="BI2" i="20"/>
  <c r="BI60" i="20"/>
  <c r="BI61" i="20" s="1"/>
  <c r="BI67" i="20" s="1"/>
  <c r="BI2" i="19"/>
  <c r="BI2" i="18"/>
  <c r="BI2" i="17"/>
  <c r="BI2" i="16"/>
  <c r="BI2" i="15"/>
  <c r="BI2" i="14"/>
  <c r="BI2" i="13"/>
  <c r="BI2" i="10"/>
  <c r="BI2" i="8"/>
  <c r="BI2" i="11"/>
  <c r="BI2" i="7"/>
  <c r="BI233" i="6"/>
  <c r="BI235" i="6" s="1"/>
  <c r="BI21" i="17" s="1"/>
  <c r="BI319" i="6"/>
  <c r="BI321" i="6" s="1"/>
  <c r="BI313" i="6"/>
  <c r="BJ314" i="6" s="1"/>
  <c r="BI241" i="6"/>
  <c r="BI243" i="6" s="1"/>
  <c r="BI20" i="16" s="1"/>
  <c r="BI182" i="6"/>
  <c r="BI184" i="6" s="1"/>
  <c r="BI189" i="6" s="1"/>
  <c r="BI190" i="6" s="1"/>
  <c r="BI194" i="6" s="1"/>
  <c r="BI2" i="9"/>
  <c r="BI282" i="6"/>
  <c r="BI284" i="6" s="1"/>
  <c r="BI276" i="6" s="1"/>
  <c r="BI277" i="6" s="1"/>
  <c r="BI270" i="6" s="1"/>
  <c r="BI249" i="6"/>
  <c r="BI251" i="6" s="1"/>
  <c r="BI21" i="18" s="1"/>
  <c r="BI147" i="6"/>
  <c r="BI209" i="6"/>
  <c r="BI176" i="6"/>
  <c r="BI177" i="6" s="1"/>
  <c r="BI72" i="6"/>
  <c r="BI2" i="12"/>
  <c r="BI120" i="6"/>
  <c r="BI122" i="6" s="1"/>
  <c r="BI127" i="6" s="1"/>
  <c r="BI128" i="6" s="1"/>
  <c r="BI132" i="6" s="1"/>
  <c r="BI114" i="6"/>
  <c r="BI115" i="6" s="1"/>
  <c r="BI92" i="6"/>
  <c r="BI2" i="6"/>
  <c r="BI32" i="6"/>
  <c r="BI52" i="6"/>
  <c r="BJ9" i="37"/>
  <c r="BJ17" i="12"/>
  <c r="BJ42" i="10"/>
  <c r="BJ22" i="10"/>
  <c r="BJ81" i="6"/>
  <c r="BJ87" i="6"/>
  <c r="BJ74" i="6"/>
  <c r="W28" i="10"/>
  <c r="U14" i="18"/>
  <c r="U29" i="18"/>
  <c r="U22" i="34" s="1"/>
  <c r="BH8" i="37"/>
  <c r="BH16" i="12"/>
  <c r="BH34" i="10"/>
  <c r="BH21" i="10"/>
  <c r="BH41" i="10"/>
  <c r="BH43" i="10" s="1"/>
  <c r="BH25" i="14" s="1"/>
  <c r="BH26" i="14" s="1"/>
  <c r="BG49" i="15"/>
  <c r="BG34" i="15"/>
  <c r="BG12" i="14"/>
  <c r="BG27" i="14"/>
  <c r="BG9" i="28" s="1"/>
  <c r="V21" i="19"/>
  <c r="V43" i="15"/>
  <c r="V45" i="15" s="1"/>
  <c r="V21" i="15"/>
  <c r="X22" i="15" s="1"/>
  <c r="V10" i="31" l="1"/>
  <c r="W41" i="15"/>
  <c r="V29" i="15"/>
  <c r="V10" i="12"/>
  <c r="V11" i="12" s="1"/>
  <c r="BK53" i="20"/>
  <c r="BK54" i="20" s="1"/>
  <c r="BK58" i="20" s="1"/>
  <c r="BK59" i="20"/>
  <c r="BK242" i="6"/>
  <c r="BK290" i="6"/>
  <c r="BK291" i="6" s="1"/>
  <c r="BK283" i="6"/>
  <c r="BK250" i="6"/>
  <c r="BK234" i="6"/>
  <c r="BK121" i="6"/>
  <c r="BK18" i="6"/>
  <c r="BK19" i="6" s="1"/>
  <c r="BK2" i="4" s="1"/>
  <c r="BK183" i="6"/>
  <c r="BH19" i="37"/>
  <c r="BI83" i="12"/>
  <c r="BI85" i="12" s="1"/>
  <c r="BJ18" i="37"/>
  <c r="BJ22" i="13"/>
  <c r="BJ84" i="12"/>
  <c r="BJ62" i="12"/>
  <c r="BJ30" i="13"/>
  <c r="AB13" i="37"/>
  <c r="AB20" i="18"/>
  <c r="AB22" i="18" s="1"/>
  <c r="AB61" i="12"/>
  <c r="AB49" i="12"/>
  <c r="BJ2" i="40"/>
  <c r="BJ2" i="37"/>
  <c r="BJ2" i="34"/>
  <c r="BJ2" i="28"/>
  <c r="BJ2" i="31"/>
  <c r="BJ2" i="21"/>
  <c r="BJ2" i="22"/>
  <c r="BJ60" i="20"/>
  <c r="BJ2" i="18"/>
  <c r="BJ2" i="20"/>
  <c r="BJ2" i="19"/>
  <c r="BJ2" i="17"/>
  <c r="BJ2" i="16"/>
  <c r="BJ2" i="15"/>
  <c r="BJ2" i="13"/>
  <c r="BJ2" i="12"/>
  <c r="BJ2" i="14"/>
  <c r="BJ2" i="11"/>
  <c r="BJ2" i="8"/>
  <c r="BJ319" i="6"/>
  <c r="BJ321" i="6" s="1"/>
  <c r="BJ313" i="6"/>
  <c r="BK314" i="6" s="1"/>
  <c r="BJ241" i="6"/>
  <c r="BJ243" i="6" s="1"/>
  <c r="BJ20" i="16" s="1"/>
  <c r="BJ182" i="6"/>
  <c r="BJ184" i="6" s="1"/>
  <c r="BJ189" i="6" s="1"/>
  <c r="BJ190" i="6" s="1"/>
  <c r="BJ194" i="6" s="1"/>
  <c r="BJ2" i="10"/>
  <c r="BJ2" i="9"/>
  <c r="BJ176" i="6"/>
  <c r="BJ177" i="6" s="1"/>
  <c r="BJ282" i="6"/>
  <c r="BJ284" i="6" s="1"/>
  <c r="BJ276" i="6" s="1"/>
  <c r="BJ277" i="6" s="1"/>
  <c r="BJ270" i="6" s="1"/>
  <c r="BJ249" i="6"/>
  <c r="BJ251" i="6" s="1"/>
  <c r="BJ21" i="18" s="1"/>
  <c r="BJ233" i="6"/>
  <c r="BJ235" i="6" s="1"/>
  <c r="BJ21" i="17" s="1"/>
  <c r="BJ147" i="6"/>
  <c r="BJ209" i="6"/>
  <c r="BJ72" i="6"/>
  <c r="BJ120" i="6"/>
  <c r="BJ122" i="6" s="1"/>
  <c r="BJ127" i="6" s="1"/>
  <c r="BJ128" i="6" s="1"/>
  <c r="BJ132" i="6" s="1"/>
  <c r="BJ32" i="6"/>
  <c r="BJ2" i="7"/>
  <c r="BJ114" i="6"/>
  <c r="BJ115" i="6" s="1"/>
  <c r="BJ92" i="6"/>
  <c r="BJ52" i="6"/>
  <c r="BJ2" i="6"/>
  <c r="BK87" i="6"/>
  <c r="BK74" i="6"/>
  <c r="BK81" i="6"/>
  <c r="U16" i="31"/>
  <c r="V11" i="17"/>
  <c r="BI162" i="6"/>
  <c r="BI141" i="6"/>
  <c r="V8" i="31"/>
  <c r="W20" i="13"/>
  <c r="BK14" i="37"/>
  <c r="BK64" i="12"/>
  <c r="BK76" i="12"/>
  <c r="BK77" i="12" s="1"/>
  <c r="BK72" i="12"/>
  <c r="BJ61" i="20"/>
  <c r="BJ67" i="20" s="1"/>
  <c r="V32" i="15"/>
  <c r="V15" i="15"/>
  <c r="V14" i="34" s="1"/>
  <c r="BK3" i="40"/>
  <c r="BK3" i="37"/>
  <c r="BK3" i="34"/>
  <c r="BK3" i="31"/>
  <c r="BK3" i="28"/>
  <c r="BK3" i="22"/>
  <c r="BK3" i="21"/>
  <c r="BK3" i="20"/>
  <c r="BK3" i="19"/>
  <c r="BK3" i="18"/>
  <c r="BK3" i="17"/>
  <c r="BK3" i="16"/>
  <c r="BK3" i="15"/>
  <c r="BK3" i="14"/>
  <c r="BK3" i="13"/>
  <c r="BK3" i="11"/>
  <c r="BK3" i="12"/>
  <c r="BK3" i="10"/>
  <c r="BK3" i="8"/>
  <c r="BK3" i="7"/>
  <c r="BK3" i="9"/>
  <c r="BK79" i="6"/>
  <c r="BK39" i="6"/>
  <c r="BK99" i="6"/>
  <c r="BK59" i="6"/>
  <c r="BK3" i="6"/>
  <c r="V12" i="37"/>
  <c r="V12" i="13"/>
  <c r="V13" i="13" s="1"/>
  <c r="W47" i="12"/>
  <c r="BH49" i="15"/>
  <c r="BH27" i="14"/>
  <c r="BH9" i="28" s="1"/>
  <c r="BH34" i="15"/>
  <c r="BH12" i="14"/>
  <c r="W27" i="10"/>
  <c r="W29" i="10" s="1"/>
  <c r="U48" i="18"/>
  <c r="U25" i="34" s="1"/>
  <c r="U34" i="18"/>
  <c r="V17" i="34"/>
  <c r="V12" i="17"/>
  <c r="V27" i="17"/>
  <c r="AB28" i="17" s="1"/>
  <c r="BL4" i="40"/>
  <c r="BL4" i="37"/>
  <c r="BL4" i="34"/>
  <c r="BL4" i="31"/>
  <c r="BL4" i="28"/>
  <c r="BL74" i="20"/>
  <c r="BL4" i="22"/>
  <c r="BL4" i="21"/>
  <c r="BL32" i="20"/>
  <c r="BL10" i="21"/>
  <c r="BL28" i="19"/>
  <c r="BL4" i="20"/>
  <c r="BL10" i="18"/>
  <c r="BL10" i="17"/>
  <c r="BL4" i="19"/>
  <c r="BL4" i="18"/>
  <c r="BL4" i="17"/>
  <c r="BL4" i="16"/>
  <c r="BL10" i="16"/>
  <c r="BL40" i="15"/>
  <c r="BL4" i="15"/>
  <c r="BL27" i="15"/>
  <c r="BL19" i="13"/>
  <c r="BL4" i="13"/>
  <c r="BL27" i="13"/>
  <c r="BL82" i="12"/>
  <c r="BL4" i="14"/>
  <c r="BL69" i="12"/>
  <c r="BL46" i="12"/>
  <c r="BL59" i="12"/>
  <c r="BL18" i="12"/>
  <c r="BL10" i="9"/>
  <c r="BL23" i="11"/>
  <c r="BL4" i="12"/>
  <c r="BL4" i="11"/>
  <c r="BL19" i="10"/>
  <c r="BL12" i="10"/>
  <c r="BL4" i="10"/>
  <c r="BL4" i="9"/>
  <c r="BL4" i="7"/>
  <c r="BL312" i="6"/>
  <c r="BL331" i="6"/>
  <c r="BL332" i="6" s="1"/>
  <c r="BL188" i="6"/>
  <c r="BL346" i="6"/>
  <c r="BL347" i="6" s="1"/>
  <c r="BL296" i="6"/>
  <c r="BL297" i="6" s="1"/>
  <c r="BL259" i="6"/>
  <c r="BL4" i="8"/>
  <c r="BL336" i="6"/>
  <c r="BL337" i="6" s="1"/>
  <c r="BL275" i="6"/>
  <c r="BL351" i="6"/>
  <c r="BL352" i="6" s="1"/>
  <c r="BL301" i="6"/>
  <c r="BL302" i="6" s="1"/>
  <c r="BL320" i="6"/>
  <c r="BL140" i="6"/>
  <c r="BL86" i="6"/>
  <c r="BL93" i="6"/>
  <c r="BL40" i="6"/>
  <c r="BM28" i="6"/>
  <c r="BM4" i="4" s="1"/>
  <c r="BL126" i="6"/>
  <c r="BL100" i="6"/>
  <c r="BL46" i="6"/>
  <c r="BL106" i="6"/>
  <c r="BL53" i="6"/>
  <c r="BL23" i="6"/>
  <c r="BL24" i="6" s="1"/>
  <c r="BL3" i="4" s="1"/>
  <c r="BL35" i="9"/>
  <c r="BL60" i="6"/>
  <c r="BL66" i="6"/>
  <c r="BL202" i="6"/>
  <c r="BL73" i="6"/>
  <c r="BL80" i="6"/>
  <c r="BL4" i="6"/>
  <c r="BL11" i="6"/>
  <c r="BL12" i="6" s="1"/>
  <c r="BL33" i="6"/>
  <c r="BL35" i="10"/>
  <c r="BK41" i="6"/>
  <c r="BK47" i="6"/>
  <c r="BK34" i="6"/>
  <c r="BI8" i="37"/>
  <c r="BI16" i="12"/>
  <c r="BI21" i="10"/>
  <c r="BI41" i="10"/>
  <c r="BI43" i="10" s="1"/>
  <c r="BI25" i="14" s="1"/>
  <c r="BI26" i="14" s="1"/>
  <c r="BI34" i="10"/>
  <c r="BI203" i="6"/>
  <c r="BI224" i="6"/>
  <c r="BJ40" i="12"/>
  <c r="BJ32" i="12"/>
  <c r="BJ13" i="10"/>
  <c r="BJ14" i="10" s="1"/>
  <c r="BK94" i="6"/>
  <c r="BK101" i="6"/>
  <c r="BK107" i="6"/>
  <c r="X8" i="34"/>
  <c r="X44" i="15"/>
  <c r="BI54" i="6"/>
  <c r="BI61" i="6"/>
  <c r="BI67" i="6"/>
  <c r="U35" i="18"/>
  <c r="U13" i="18" s="1"/>
  <c r="U15" i="18" s="1"/>
  <c r="BJ26" i="31"/>
  <c r="BK11" i="21"/>
  <c r="BJ29" i="9"/>
  <c r="V8" i="28"/>
  <c r="V19" i="16"/>
  <c r="V21" i="16" s="1"/>
  <c r="V26" i="11"/>
  <c r="V27" i="11" s="1"/>
  <c r="BK9" i="37"/>
  <c r="BK17" i="12"/>
  <c r="BK42" i="10"/>
  <c r="BK22" i="10"/>
  <c r="BK13" i="21"/>
  <c r="U47" i="16"/>
  <c r="U24" i="34" s="1"/>
  <c r="U33" i="16"/>
  <c r="U34" i="16" s="1"/>
  <c r="U13" i="16" s="1"/>
  <c r="U15" i="16" s="1"/>
  <c r="BK18" i="37" l="1"/>
  <c r="BK22" i="13"/>
  <c r="BK30" i="13"/>
  <c r="BK84" i="12"/>
  <c r="BK62" i="12"/>
  <c r="BK2" i="40"/>
  <c r="BK2" i="37"/>
  <c r="BK2" i="34"/>
  <c r="BK2" i="31"/>
  <c r="BK2" i="28"/>
  <c r="BK2" i="22"/>
  <c r="BK60" i="20"/>
  <c r="BK2" i="21"/>
  <c r="BK2" i="20"/>
  <c r="BK2" i="18"/>
  <c r="BK2" i="19"/>
  <c r="BK2" i="17"/>
  <c r="BK2" i="16"/>
  <c r="BK2" i="15"/>
  <c r="BK2" i="13"/>
  <c r="BK2" i="14"/>
  <c r="BK2" i="11"/>
  <c r="BK2" i="12"/>
  <c r="BK2" i="10"/>
  <c r="BK319" i="6"/>
  <c r="BK321" i="6" s="1"/>
  <c r="BK313" i="6"/>
  <c r="BK241" i="6"/>
  <c r="BK243" i="6" s="1"/>
  <c r="BK20" i="16" s="1"/>
  <c r="BK182" i="6"/>
  <c r="BK184" i="6" s="1"/>
  <c r="BK189" i="6" s="1"/>
  <c r="BK190" i="6" s="1"/>
  <c r="BK194" i="6" s="1"/>
  <c r="BK2" i="9"/>
  <c r="BK176" i="6"/>
  <c r="BK177" i="6" s="1"/>
  <c r="BK282" i="6"/>
  <c r="BK284" i="6" s="1"/>
  <c r="BK276" i="6" s="1"/>
  <c r="BK277" i="6" s="1"/>
  <c r="BK270" i="6" s="1"/>
  <c r="BK249" i="6"/>
  <c r="BK251" i="6" s="1"/>
  <c r="BK21" i="18" s="1"/>
  <c r="BK2" i="7"/>
  <c r="BK233" i="6"/>
  <c r="BK235" i="6" s="1"/>
  <c r="BK21" i="17" s="1"/>
  <c r="BK209" i="6"/>
  <c r="BK72" i="6"/>
  <c r="BK120" i="6"/>
  <c r="BK122" i="6" s="1"/>
  <c r="BK127" i="6" s="1"/>
  <c r="BK128" i="6" s="1"/>
  <c r="BK132" i="6" s="1"/>
  <c r="BK32" i="6"/>
  <c r="BK114" i="6"/>
  <c r="BK115" i="6" s="1"/>
  <c r="BK92" i="6"/>
  <c r="BK52" i="6"/>
  <c r="BK2" i="8"/>
  <c r="BK147" i="6"/>
  <c r="BK2" i="6"/>
  <c r="BK61" i="20"/>
  <c r="BK67" i="20" s="1"/>
  <c r="BL47" i="6"/>
  <c r="BL34" i="6"/>
  <c r="BL41" i="6"/>
  <c r="W11" i="13"/>
  <c r="V40" i="17"/>
  <c r="V41" i="17" s="1"/>
  <c r="U18" i="31"/>
  <c r="V11" i="18"/>
  <c r="U17" i="31"/>
  <c r="V11" i="16"/>
  <c r="V14" i="31"/>
  <c r="W24" i="11"/>
  <c r="BJ8" i="37"/>
  <c r="BJ21" i="10"/>
  <c r="BJ16" i="12"/>
  <c r="BJ41" i="10"/>
  <c r="BJ43" i="10" s="1"/>
  <c r="BJ25" i="14" s="1"/>
  <c r="BJ26" i="14" s="1"/>
  <c r="BJ34" i="10"/>
  <c r="BL94" i="6"/>
  <c r="BL101" i="6"/>
  <c r="BL107" i="6"/>
  <c r="W53" i="12"/>
  <c r="W54" i="12" s="1"/>
  <c r="W11" i="11"/>
  <c r="W12" i="11" s="1"/>
  <c r="W23" i="10"/>
  <c r="W24" i="10" s="1"/>
  <c r="AB21" i="34"/>
  <c r="AB12" i="18"/>
  <c r="BI19" i="37"/>
  <c r="BJ83" i="12"/>
  <c r="BJ85" i="12" s="1"/>
  <c r="V9" i="19"/>
  <c r="V30" i="15"/>
  <c r="V19" i="34"/>
  <c r="V26" i="16"/>
  <c r="X27" i="16" s="1"/>
  <c r="V12" i="16"/>
  <c r="BM4" i="40"/>
  <c r="BM4" i="37"/>
  <c r="BM4" i="34"/>
  <c r="BM4" i="31"/>
  <c r="BM4" i="28"/>
  <c r="BM10" i="21"/>
  <c r="BM4" i="22"/>
  <c r="BM4" i="21"/>
  <c r="BM32" i="20"/>
  <c r="BM74" i="20"/>
  <c r="BM4" i="20"/>
  <c r="BM10" i="18"/>
  <c r="BM28" i="19"/>
  <c r="BM4" i="19"/>
  <c r="BM10" i="17"/>
  <c r="BM4" i="18"/>
  <c r="BM10" i="16"/>
  <c r="BM4" i="17"/>
  <c r="BM4" i="16"/>
  <c r="BM4" i="14"/>
  <c r="BM40" i="15"/>
  <c r="BM4" i="15"/>
  <c r="BM27" i="15"/>
  <c r="BM19" i="13"/>
  <c r="BM4" i="13"/>
  <c r="BM27" i="13"/>
  <c r="BM82" i="12"/>
  <c r="BM69" i="12"/>
  <c r="BM46" i="12"/>
  <c r="BM59" i="12"/>
  <c r="BM4" i="12"/>
  <c r="BM18" i="12"/>
  <c r="BM23" i="11"/>
  <c r="BM4" i="11"/>
  <c r="BM19" i="10"/>
  <c r="BM12" i="10"/>
  <c r="BM4" i="10"/>
  <c r="BM35" i="9"/>
  <c r="BM4" i="8"/>
  <c r="BM331" i="6"/>
  <c r="BM332" i="6" s="1"/>
  <c r="BM346" i="6"/>
  <c r="BM347" i="6" s="1"/>
  <c r="BM296" i="6"/>
  <c r="BM297" i="6" s="1"/>
  <c r="BM10" i="9"/>
  <c r="BM259" i="6"/>
  <c r="BM336" i="6"/>
  <c r="BM337" i="6" s="1"/>
  <c r="BM275" i="6"/>
  <c r="BM351" i="6"/>
  <c r="BM352" i="6" s="1"/>
  <c r="BM301" i="6"/>
  <c r="BM302" i="6" s="1"/>
  <c r="BM4" i="7"/>
  <c r="BM320" i="6"/>
  <c r="BM202" i="6"/>
  <c r="BM93" i="6"/>
  <c r="BM126" i="6"/>
  <c r="BM100" i="6"/>
  <c r="BM46" i="6"/>
  <c r="BM106" i="6"/>
  <c r="BM53" i="6"/>
  <c r="BM23" i="6"/>
  <c r="BM24" i="6" s="1"/>
  <c r="BM3" i="4" s="1"/>
  <c r="BM312" i="6"/>
  <c r="BM60" i="6"/>
  <c r="BM66" i="6"/>
  <c r="BM73" i="6"/>
  <c r="BM4" i="9"/>
  <c r="BM80" i="6"/>
  <c r="BM4" i="6"/>
  <c r="BM86" i="6"/>
  <c r="BM11" i="6"/>
  <c r="BM12" i="6" s="1"/>
  <c r="BN28" i="6"/>
  <c r="BN4" i="4" s="1"/>
  <c r="BM33" i="6"/>
  <c r="BM188" i="6"/>
  <c r="BM140" i="6"/>
  <c r="BM40" i="6"/>
  <c r="BM35" i="10"/>
  <c r="BL314" i="6"/>
  <c r="W25" i="12"/>
  <c r="BI49" i="15"/>
  <c r="BI34" i="15"/>
  <c r="BI27" i="14"/>
  <c r="BI9" i="28" s="1"/>
  <c r="BI12" i="14"/>
  <c r="BL74" i="6"/>
  <c r="BL81" i="6"/>
  <c r="BL87" i="6"/>
  <c r="AB29" i="17"/>
  <c r="AB18" i="34" s="1"/>
  <c r="AB14" i="17"/>
  <c r="V14" i="13"/>
  <c r="V13" i="28" s="1"/>
  <c r="V29" i="13"/>
  <c r="V31" i="13" s="1"/>
  <c r="BJ162" i="6"/>
  <c r="BJ141" i="6"/>
  <c r="BJ54" i="6"/>
  <c r="BJ61" i="6"/>
  <c r="BJ67" i="6"/>
  <c r="BK40" i="12"/>
  <c r="BK32" i="12"/>
  <c r="BK13" i="10"/>
  <c r="BK14" i="10" s="1"/>
  <c r="BK26" i="31"/>
  <c r="BL11" i="21"/>
  <c r="BL13" i="21" s="1"/>
  <c r="BK29" i="9"/>
  <c r="BL3" i="40"/>
  <c r="BL3" i="37"/>
  <c r="BL3" i="34"/>
  <c r="BL3" i="31"/>
  <c r="BL3" i="28"/>
  <c r="BL3" i="22"/>
  <c r="BL3" i="21"/>
  <c r="BL3" i="20"/>
  <c r="BL3" i="19"/>
  <c r="BL3" i="18"/>
  <c r="BL3" i="17"/>
  <c r="BL3" i="16"/>
  <c r="BL3" i="14"/>
  <c r="BL3" i="15"/>
  <c r="BL3" i="13"/>
  <c r="BL3" i="12"/>
  <c r="BL3" i="10"/>
  <c r="BL3" i="9"/>
  <c r="BL3" i="11"/>
  <c r="BL3" i="8"/>
  <c r="BL3" i="7"/>
  <c r="BL79" i="6"/>
  <c r="BL39" i="6"/>
  <c r="BL99" i="6"/>
  <c r="BL59" i="6"/>
  <c r="BL3" i="6"/>
  <c r="BL14" i="37"/>
  <c r="BL64" i="12"/>
  <c r="BL72" i="12"/>
  <c r="BL76" i="12"/>
  <c r="BL77" i="12" s="1"/>
  <c r="BL9" i="37"/>
  <c r="BL17" i="12"/>
  <c r="BL22" i="10"/>
  <c r="BL42" i="10"/>
  <c r="BL59" i="20"/>
  <c r="BL53" i="20"/>
  <c r="BL54" i="20" s="1"/>
  <c r="BL58" i="20" s="1"/>
  <c r="BL290" i="6"/>
  <c r="BL291" i="6" s="1"/>
  <c r="BL283" i="6"/>
  <c r="BL250" i="6"/>
  <c r="BL234" i="6"/>
  <c r="BL242" i="6"/>
  <c r="BL121" i="6"/>
  <c r="BL183" i="6"/>
  <c r="BL18" i="6"/>
  <c r="BL19" i="6" s="1"/>
  <c r="BL2" i="4" s="1"/>
  <c r="BJ224" i="6"/>
  <c r="BJ203" i="6"/>
  <c r="BK8" i="37" l="1"/>
  <c r="BK16" i="12"/>
  <c r="BK41" i="10"/>
  <c r="BK43" i="10" s="1"/>
  <c r="BK25" i="14" s="1"/>
  <c r="BK26" i="14" s="1"/>
  <c r="BK34" i="10"/>
  <c r="BK21" i="10"/>
  <c r="V32" i="13"/>
  <c r="V9" i="31" s="1"/>
  <c r="W28" i="13"/>
  <c r="BN4" i="40"/>
  <c r="BN4" i="37"/>
  <c r="BN4" i="34"/>
  <c r="BN4" i="31"/>
  <c r="BN4" i="28"/>
  <c r="BN10" i="21"/>
  <c r="BN4" i="22"/>
  <c r="BN4" i="21"/>
  <c r="BN32" i="20"/>
  <c r="BN74" i="20"/>
  <c r="BN4" i="20"/>
  <c r="BN10" i="18"/>
  <c r="BN28" i="19"/>
  <c r="BN4" i="19"/>
  <c r="BN4" i="18"/>
  <c r="BN4" i="17"/>
  <c r="BN10" i="17"/>
  <c r="BN40" i="15"/>
  <c r="BN27" i="15"/>
  <c r="BN4" i="16"/>
  <c r="BN27" i="13"/>
  <c r="BN82" i="12"/>
  <c r="BN10" i="16"/>
  <c r="BN4" i="15"/>
  <c r="BN4" i="14"/>
  <c r="BN69" i="12"/>
  <c r="BN19" i="13"/>
  <c r="BN59" i="12"/>
  <c r="BN18" i="12"/>
  <c r="BN46" i="12"/>
  <c r="BN23" i="11"/>
  <c r="BN4" i="11"/>
  <c r="BN19" i="10"/>
  <c r="BN4" i="13"/>
  <c r="BN4" i="12"/>
  <c r="BN12" i="10"/>
  <c r="BN4" i="10"/>
  <c r="BN346" i="6"/>
  <c r="BN347" i="6" s="1"/>
  <c r="BN296" i="6"/>
  <c r="BN297" i="6" s="1"/>
  <c r="BN10" i="9"/>
  <c r="BN259" i="6"/>
  <c r="BN336" i="6"/>
  <c r="BN337" i="6" s="1"/>
  <c r="BN275" i="6"/>
  <c r="BN4" i="8"/>
  <c r="BN351" i="6"/>
  <c r="BN352" i="6" s="1"/>
  <c r="BN301" i="6"/>
  <c r="BN302" i="6" s="1"/>
  <c r="BN4" i="7"/>
  <c r="BN320" i="6"/>
  <c r="BN35" i="9"/>
  <c r="BN4" i="9"/>
  <c r="BN312" i="6"/>
  <c r="BN331" i="6"/>
  <c r="BN332" i="6" s="1"/>
  <c r="BN126" i="6"/>
  <c r="BN100" i="6"/>
  <c r="BN46" i="6"/>
  <c r="BN106" i="6"/>
  <c r="BN53" i="6"/>
  <c r="BN23" i="6"/>
  <c r="BN24" i="6" s="1"/>
  <c r="BN3" i="4" s="1"/>
  <c r="BN60" i="6"/>
  <c r="BN66" i="6"/>
  <c r="BN73" i="6"/>
  <c r="BN202" i="6"/>
  <c r="BN80" i="6"/>
  <c r="BN188" i="6"/>
  <c r="BN140" i="6"/>
  <c r="BN86" i="6"/>
  <c r="BN33" i="6"/>
  <c r="BN11" i="6"/>
  <c r="BN12" i="6" s="1"/>
  <c r="BO28" i="6"/>
  <c r="BO4" i="4" s="1"/>
  <c r="BN93" i="6"/>
  <c r="BN40" i="6"/>
  <c r="BN4" i="6"/>
  <c r="BN35" i="10"/>
  <c r="BM74" i="6"/>
  <c r="BM81" i="6"/>
  <c r="BM87" i="6"/>
  <c r="BK54" i="6"/>
  <c r="BK61" i="6"/>
  <c r="BK67" i="6"/>
  <c r="BM9" i="37"/>
  <c r="BM22" i="10"/>
  <c r="BM42" i="10"/>
  <c r="BM17" i="12"/>
  <c r="BM53" i="20"/>
  <c r="BM54" i="20" s="1"/>
  <c r="BM58" i="20" s="1"/>
  <c r="BM59" i="20"/>
  <c r="BM283" i="6"/>
  <c r="BM250" i="6"/>
  <c r="BM234" i="6"/>
  <c r="BM242" i="6"/>
  <c r="BM183" i="6"/>
  <c r="BM290" i="6"/>
  <c r="BM291" i="6" s="1"/>
  <c r="BM18" i="6"/>
  <c r="BM19" i="6" s="1"/>
  <c r="BM2" i="4" s="1"/>
  <c r="BM121" i="6"/>
  <c r="V33" i="17"/>
  <c r="V42" i="17"/>
  <c r="V16" i="28" s="1"/>
  <c r="V46" i="17"/>
  <c r="V47" i="17" s="1"/>
  <c r="BK162" i="6"/>
  <c r="BK141" i="6"/>
  <c r="BM3" i="40"/>
  <c r="BM3" i="37"/>
  <c r="BM3" i="34"/>
  <c r="BM3" i="31"/>
  <c r="BM3" i="22"/>
  <c r="BM3" i="28"/>
  <c r="BM3" i="21"/>
  <c r="BM3" i="20"/>
  <c r="BM3" i="19"/>
  <c r="BM3" i="18"/>
  <c r="BM3" i="17"/>
  <c r="BM3" i="16"/>
  <c r="BM3" i="15"/>
  <c r="BM3" i="14"/>
  <c r="BM3" i="13"/>
  <c r="BM3" i="10"/>
  <c r="BM3" i="8"/>
  <c r="BM3" i="11"/>
  <c r="BM3" i="7"/>
  <c r="BM3" i="12"/>
  <c r="BM3" i="9"/>
  <c r="BM39" i="6"/>
  <c r="BM99" i="6"/>
  <c r="BM3" i="6"/>
  <c r="BM59" i="6"/>
  <c r="BM79" i="6"/>
  <c r="W10" i="37"/>
  <c r="W24" i="12"/>
  <c r="W26" i="12" s="1"/>
  <c r="W31" i="12" s="1"/>
  <c r="W33" i="12" s="1"/>
  <c r="X20" i="10"/>
  <c r="BK224" i="6"/>
  <c r="BK203" i="6"/>
  <c r="BL40" i="12"/>
  <c r="BL32" i="12"/>
  <c r="BL13" i="10"/>
  <c r="BL14" i="10" s="1"/>
  <c r="BJ19" i="37"/>
  <c r="BK83" i="12"/>
  <c r="BK85" i="12" s="1"/>
  <c r="W16" i="19"/>
  <c r="W17" i="19" s="1"/>
  <c r="W42" i="15"/>
  <c r="W20" i="15"/>
  <c r="W25" i="11"/>
  <c r="V39" i="16"/>
  <c r="V40" i="16" s="1"/>
  <c r="BM47" i="6"/>
  <c r="BM34" i="6"/>
  <c r="BM41" i="6"/>
  <c r="BM14" i="37"/>
  <c r="BM72" i="12"/>
  <c r="BM64" i="12"/>
  <c r="BM76" i="12"/>
  <c r="BM77" i="12" s="1"/>
  <c r="X14" i="16"/>
  <c r="X28" i="16"/>
  <c r="X20" i="34" s="1"/>
  <c r="W16" i="37"/>
  <c r="W71" i="12"/>
  <c r="W73" i="12" s="1"/>
  <c r="W63" i="12"/>
  <c r="W65" i="12" s="1"/>
  <c r="BL18" i="37"/>
  <c r="BL22" i="13"/>
  <c r="BL30" i="13"/>
  <c r="BL84" i="12"/>
  <c r="BL62" i="12"/>
  <c r="BL26" i="31"/>
  <c r="BM11" i="21"/>
  <c r="BM13" i="21" s="1"/>
  <c r="BL29" i="9"/>
  <c r="BL2" i="37"/>
  <c r="BL2" i="40"/>
  <c r="BL2" i="34"/>
  <c r="BL2" i="31"/>
  <c r="BL2" i="28"/>
  <c r="BL2" i="22"/>
  <c r="BL2" i="21"/>
  <c r="BL60" i="20"/>
  <c r="BL61" i="20" s="1"/>
  <c r="BL67" i="20" s="1"/>
  <c r="BL2" i="20"/>
  <c r="BL2" i="18"/>
  <c r="BL2" i="19"/>
  <c r="BL2" i="17"/>
  <c r="BL2" i="16"/>
  <c r="BL2" i="15"/>
  <c r="BL2" i="13"/>
  <c r="BL2" i="14"/>
  <c r="BL2" i="11"/>
  <c r="BL2" i="12"/>
  <c r="BL2" i="10"/>
  <c r="BL2" i="9"/>
  <c r="BL241" i="6"/>
  <c r="BL243" i="6" s="1"/>
  <c r="BL20" i="16" s="1"/>
  <c r="BL176" i="6"/>
  <c r="BL177" i="6" s="1"/>
  <c r="BL282" i="6"/>
  <c r="BL284" i="6" s="1"/>
  <c r="BL276" i="6" s="1"/>
  <c r="BL277" i="6" s="1"/>
  <c r="BL270" i="6" s="1"/>
  <c r="BL249" i="6"/>
  <c r="BL251" i="6" s="1"/>
  <c r="BL21" i="18" s="1"/>
  <c r="BL2" i="7"/>
  <c r="BL233" i="6"/>
  <c r="BL235" i="6" s="1"/>
  <c r="BL21" i="17" s="1"/>
  <c r="BL2" i="8"/>
  <c r="BL319" i="6"/>
  <c r="BL321" i="6" s="1"/>
  <c r="BL209" i="6"/>
  <c r="BL120" i="6"/>
  <c r="BL122" i="6" s="1"/>
  <c r="BL127" i="6" s="1"/>
  <c r="BL128" i="6" s="1"/>
  <c r="BL132" i="6" s="1"/>
  <c r="BL32" i="6"/>
  <c r="BL114" i="6"/>
  <c r="BL115" i="6" s="1"/>
  <c r="BL92" i="6"/>
  <c r="BL52" i="6"/>
  <c r="BL182" i="6"/>
  <c r="BL184" i="6" s="1"/>
  <c r="BL189" i="6" s="1"/>
  <c r="BL190" i="6" s="1"/>
  <c r="BL194" i="6" s="1"/>
  <c r="BL147" i="6"/>
  <c r="BL72" i="6"/>
  <c r="BL313" i="6"/>
  <c r="BM314" i="6" s="1"/>
  <c r="BL2" i="6"/>
  <c r="BM101" i="6"/>
  <c r="BM107" i="6"/>
  <c r="BM94" i="6"/>
  <c r="BJ34" i="15"/>
  <c r="BJ27" i="14"/>
  <c r="BJ9" i="28" s="1"/>
  <c r="BJ12" i="14"/>
  <c r="BJ49" i="15"/>
  <c r="V27" i="18"/>
  <c r="V28" i="18" s="1"/>
  <c r="V40" i="18"/>
  <c r="V41" i="18" s="1"/>
  <c r="BM26" i="31" l="1"/>
  <c r="BN11" i="21"/>
  <c r="BM29" i="9"/>
  <c r="BL162" i="6"/>
  <c r="BL141" i="6"/>
  <c r="W15" i="37"/>
  <c r="X60" i="12"/>
  <c r="BK49" i="15"/>
  <c r="BK34" i="15"/>
  <c r="BK12" i="14"/>
  <c r="BK27" i="14"/>
  <c r="BK9" i="28" s="1"/>
  <c r="V48" i="17"/>
  <c r="V23" i="34" s="1"/>
  <c r="V34" i="17"/>
  <c r="V35" i="17" s="1"/>
  <c r="V13" i="17" s="1"/>
  <c r="V15" i="17" s="1"/>
  <c r="BM2" i="40"/>
  <c r="BM2" i="37"/>
  <c r="BM2" i="34"/>
  <c r="BM2" i="31"/>
  <c r="BM2" i="22"/>
  <c r="BM2" i="21"/>
  <c r="BM2" i="28"/>
  <c r="BM60" i="20"/>
  <c r="BM2" i="20"/>
  <c r="BM2" i="19"/>
  <c r="BM2" i="16"/>
  <c r="BM2" i="17"/>
  <c r="BM2" i="18"/>
  <c r="BM2" i="14"/>
  <c r="BM2" i="15"/>
  <c r="BM2" i="13"/>
  <c r="BM2" i="12"/>
  <c r="BM2" i="11"/>
  <c r="BM2" i="10"/>
  <c r="BM2" i="8"/>
  <c r="BM2" i="9"/>
  <c r="BM282" i="6"/>
  <c r="BM284" i="6" s="1"/>
  <c r="BM276" i="6" s="1"/>
  <c r="BM277" i="6" s="1"/>
  <c r="BM270" i="6" s="1"/>
  <c r="BM249" i="6"/>
  <c r="BM251" i="6" s="1"/>
  <c r="BM21" i="18" s="1"/>
  <c r="BM2" i="7"/>
  <c r="BM233" i="6"/>
  <c r="BM235" i="6" s="1"/>
  <c r="BM21" i="17" s="1"/>
  <c r="BM319" i="6"/>
  <c r="BM321" i="6" s="1"/>
  <c r="BM313" i="6"/>
  <c r="BM120" i="6"/>
  <c r="BM122" i="6" s="1"/>
  <c r="BM127" i="6" s="1"/>
  <c r="BM128" i="6" s="1"/>
  <c r="BM132" i="6" s="1"/>
  <c r="BM176" i="6"/>
  <c r="BM177" i="6" s="1"/>
  <c r="BM114" i="6"/>
  <c r="BM115" i="6" s="1"/>
  <c r="BM92" i="6"/>
  <c r="BM52" i="6"/>
  <c r="BM241" i="6"/>
  <c r="BM243" i="6" s="1"/>
  <c r="BM20" i="16" s="1"/>
  <c r="BM182" i="6"/>
  <c r="BM184" i="6" s="1"/>
  <c r="BM189" i="6" s="1"/>
  <c r="BM190" i="6" s="1"/>
  <c r="BM194" i="6" s="1"/>
  <c r="BM147" i="6"/>
  <c r="BM72" i="6"/>
  <c r="BM32" i="6"/>
  <c r="BM209" i="6"/>
  <c r="BM2" i="6"/>
  <c r="BM61" i="20"/>
  <c r="BM67" i="20" s="1"/>
  <c r="BO4" i="40"/>
  <c r="BO4" i="37"/>
  <c r="BO4" i="34"/>
  <c r="BO4" i="31"/>
  <c r="BO4" i="28"/>
  <c r="BO74" i="20"/>
  <c r="BO4" i="22"/>
  <c r="BO4" i="21"/>
  <c r="BO10" i="21"/>
  <c r="BO32" i="20"/>
  <c r="BO4" i="20"/>
  <c r="BO10" i="18"/>
  <c r="BO28" i="19"/>
  <c r="BO4" i="19"/>
  <c r="BO4" i="18"/>
  <c r="BO4" i="17"/>
  <c r="BO10" i="17"/>
  <c r="BO4" i="16"/>
  <c r="BO10" i="16"/>
  <c r="BO40" i="15"/>
  <c r="BO4" i="15"/>
  <c r="BO27" i="15"/>
  <c r="BO4" i="14"/>
  <c r="BO19" i="13"/>
  <c r="BO59" i="12"/>
  <c r="BO27" i="13"/>
  <c r="BO18" i="12"/>
  <c r="BO4" i="13"/>
  <c r="BO46" i="12"/>
  <c r="BO82" i="12"/>
  <c r="BO69" i="12"/>
  <c r="BO4" i="11"/>
  <c r="BO19" i="10"/>
  <c r="BO4" i="12"/>
  <c r="BO12" i="10"/>
  <c r="BO4" i="10"/>
  <c r="BO10" i="9"/>
  <c r="BO259" i="6"/>
  <c r="BO336" i="6"/>
  <c r="BO337" i="6" s="1"/>
  <c r="BO275" i="6"/>
  <c r="BO4" i="8"/>
  <c r="BO351" i="6"/>
  <c r="BO352" i="6" s="1"/>
  <c r="BO301" i="6"/>
  <c r="BO302" i="6" s="1"/>
  <c r="BO4" i="7"/>
  <c r="BO320" i="6"/>
  <c r="BO23" i="11"/>
  <c r="BO35" i="9"/>
  <c r="BO4" i="9"/>
  <c r="BO312" i="6"/>
  <c r="BO331" i="6"/>
  <c r="BO332" i="6" s="1"/>
  <c r="BO188" i="6"/>
  <c r="BO106" i="6"/>
  <c r="BO53" i="6"/>
  <c r="BO296" i="6"/>
  <c r="BO297" i="6" s="1"/>
  <c r="BO60" i="6"/>
  <c r="BO66" i="6"/>
  <c r="BO73" i="6"/>
  <c r="BO346" i="6"/>
  <c r="BO347" i="6" s="1"/>
  <c r="BO202" i="6"/>
  <c r="BO80" i="6"/>
  <c r="BO140" i="6"/>
  <c r="BO86" i="6"/>
  <c r="BO93" i="6"/>
  <c r="BO40" i="6"/>
  <c r="BP28" i="6"/>
  <c r="BP4" i="4" s="1"/>
  <c r="BO126" i="6"/>
  <c r="BO11" i="6"/>
  <c r="BO12" i="6" s="1"/>
  <c r="BO33" i="6"/>
  <c r="BO46" i="6"/>
  <c r="BO100" i="6"/>
  <c r="BO4" i="6"/>
  <c r="BO23" i="6"/>
  <c r="BO24" i="6" s="1"/>
  <c r="BO3" i="4" s="1"/>
  <c r="BO35" i="10"/>
  <c r="BN41" i="6"/>
  <c r="BN34" i="6"/>
  <c r="BN47" i="6"/>
  <c r="V33" i="18"/>
  <c r="V46" i="18"/>
  <c r="V47" i="18" s="1"/>
  <c r="V42" i="18"/>
  <c r="V18" i="28" s="1"/>
  <c r="BL224" i="6"/>
  <c r="BL203" i="6"/>
  <c r="W21" i="19"/>
  <c r="W43" i="15"/>
  <c r="W45" i="15" s="1"/>
  <c r="W21" i="15"/>
  <c r="Y22" i="15" s="1"/>
  <c r="X28" i="10"/>
  <c r="BM40" i="12"/>
  <c r="BM32" i="12"/>
  <c r="BM13" i="10"/>
  <c r="BM14" i="10" s="1"/>
  <c r="BN107" i="6"/>
  <c r="BN94" i="6"/>
  <c r="BN101" i="6"/>
  <c r="BN14" i="37"/>
  <c r="BN76" i="12"/>
  <c r="BN77" i="12" s="1"/>
  <c r="BN64" i="12"/>
  <c r="BN72" i="12"/>
  <c r="BK19" i="37"/>
  <c r="BL83" i="12"/>
  <c r="BL85" i="12" s="1"/>
  <c r="BL8" i="37"/>
  <c r="BL16" i="12"/>
  <c r="BL41" i="10"/>
  <c r="BL43" i="10" s="1"/>
  <c r="BL25" i="14" s="1"/>
  <c r="BL26" i="14" s="1"/>
  <c r="BL34" i="10"/>
  <c r="BL21" i="10"/>
  <c r="W11" i="37"/>
  <c r="W20" i="17"/>
  <c r="W22" i="17" s="1"/>
  <c r="W13" i="15"/>
  <c r="W14" i="15" s="1"/>
  <c r="W21" i="13"/>
  <c r="W23" i="13" s="1"/>
  <c r="W39" i="12"/>
  <c r="AC41" i="12" s="1"/>
  <c r="W48" i="12"/>
  <c r="W50" i="12" s="1"/>
  <c r="W17" i="9"/>
  <c r="W18" i="9" s="1"/>
  <c r="BN53" i="20"/>
  <c r="BN54" i="20" s="1"/>
  <c r="BN58" i="20" s="1"/>
  <c r="BN59" i="20"/>
  <c r="BN250" i="6"/>
  <c r="BN234" i="6"/>
  <c r="BN242" i="6"/>
  <c r="BN290" i="6"/>
  <c r="BN291" i="6" s="1"/>
  <c r="BN183" i="6"/>
  <c r="BN283" i="6"/>
  <c r="BN121" i="6"/>
  <c r="BN18" i="6"/>
  <c r="BN19" i="6" s="1"/>
  <c r="BN2" i="4" s="1"/>
  <c r="W17" i="37"/>
  <c r="X70" i="12"/>
  <c r="W17" i="11"/>
  <c r="W18" i="11" s="1"/>
  <c r="BM18" i="37"/>
  <c r="BM62" i="12"/>
  <c r="BM22" i="13"/>
  <c r="BM30" i="13"/>
  <c r="BM84" i="12"/>
  <c r="BN314" i="6"/>
  <c r="BN9" i="37"/>
  <c r="BN22" i="10"/>
  <c r="BN42" i="10"/>
  <c r="BN17" i="12"/>
  <c r="BN3" i="40"/>
  <c r="BN3" i="37"/>
  <c r="BN3" i="34"/>
  <c r="BN3" i="28"/>
  <c r="BN3" i="31"/>
  <c r="BN3" i="21"/>
  <c r="BN3" i="22"/>
  <c r="BN3" i="18"/>
  <c r="BN3" i="20"/>
  <c r="BN3" i="19"/>
  <c r="BN3" i="16"/>
  <c r="BN3" i="17"/>
  <c r="BN3" i="15"/>
  <c r="BN3" i="14"/>
  <c r="BN3" i="13"/>
  <c r="BN3" i="12"/>
  <c r="BN3" i="11"/>
  <c r="BN3" i="8"/>
  <c r="BN3" i="10"/>
  <c r="BN3" i="9"/>
  <c r="BN99" i="6"/>
  <c r="BN3" i="6"/>
  <c r="BN59" i="6"/>
  <c r="BN3" i="7"/>
  <c r="BN79" i="6"/>
  <c r="BN39" i="6"/>
  <c r="BN74" i="6"/>
  <c r="BN81" i="6"/>
  <c r="BN87" i="6"/>
  <c r="BN13" i="21"/>
  <c r="V29" i="18"/>
  <c r="V22" i="34" s="1"/>
  <c r="V14" i="18"/>
  <c r="BL54" i="6"/>
  <c r="BL61" i="6"/>
  <c r="BL67" i="6"/>
  <c r="V41" i="16"/>
  <c r="V17" i="28" s="1"/>
  <c r="V45" i="16"/>
  <c r="V46" i="16" s="1"/>
  <c r="V32" i="16"/>
  <c r="Y8" i="34" l="1"/>
  <c r="Y44" i="15"/>
  <c r="W29" i="15"/>
  <c r="W10" i="12"/>
  <c r="W11" i="12" s="1"/>
  <c r="BO94" i="6"/>
  <c r="BO101" i="6"/>
  <c r="BO107" i="6"/>
  <c r="W10" i="31"/>
  <c r="X41" i="15"/>
  <c r="W12" i="37"/>
  <c r="W12" i="13"/>
  <c r="W13" i="13" s="1"/>
  <c r="X47" i="12"/>
  <c r="BL34" i="15"/>
  <c r="BL27" i="14"/>
  <c r="BL9" i="28" s="1"/>
  <c r="BL49" i="15"/>
  <c r="BL12" i="14"/>
  <c r="BO3" i="40"/>
  <c r="BO3" i="37"/>
  <c r="BO3" i="34"/>
  <c r="BO3" i="31"/>
  <c r="BO3" i="28"/>
  <c r="BO3" i="22"/>
  <c r="BO3" i="21"/>
  <c r="BO3" i="20"/>
  <c r="BO3" i="18"/>
  <c r="BO3" i="19"/>
  <c r="BO3" i="17"/>
  <c r="BO3" i="16"/>
  <c r="BO3" i="14"/>
  <c r="BO3" i="15"/>
  <c r="BO3" i="13"/>
  <c r="BO3" i="11"/>
  <c r="BO3" i="12"/>
  <c r="BO3" i="10"/>
  <c r="BO3" i="9"/>
  <c r="BO3" i="7"/>
  <c r="BO3" i="8"/>
  <c r="BO99" i="6"/>
  <c r="BO59" i="6"/>
  <c r="BO79" i="6"/>
  <c r="BO3" i="6"/>
  <c r="BO39" i="6"/>
  <c r="BP4" i="40"/>
  <c r="BP4" i="37"/>
  <c r="BP4" i="34"/>
  <c r="BP4" i="31"/>
  <c r="BP4" i="28"/>
  <c r="BP4" i="22"/>
  <c r="BP32" i="20"/>
  <c r="BP10" i="21"/>
  <c r="BP74" i="20"/>
  <c r="BP4" i="21"/>
  <c r="BP4" i="20"/>
  <c r="BP28" i="19"/>
  <c r="BP4" i="19"/>
  <c r="BP4" i="18"/>
  <c r="BP4" i="17"/>
  <c r="BP10" i="17"/>
  <c r="BP10" i="18"/>
  <c r="BP10" i="16"/>
  <c r="BP40" i="15"/>
  <c r="BP27" i="15"/>
  <c r="BP4" i="16"/>
  <c r="BP4" i="14"/>
  <c r="BP4" i="15"/>
  <c r="BP19" i="13"/>
  <c r="BP4" i="13"/>
  <c r="BP59" i="12"/>
  <c r="BP27" i="13"/>
  <c r="BP82" i="12"/>
  <c r="BP69" i="12"/>
  <c r="BP4" i="12"/>
  <c r="BP12" i="10"/>
  <c r="BP4" i="10"/>
  <c r="BP4" i="9"/>
  <c r="BP4" i="7"/>
  <c r="BP46" i="12"/>
  <c r="BP35" i="9"/>
  <c r="BP10" i="9"/>
  <c r="BP23" i="11"/>
  <c r="BP336" i="6"/>
  <c r="BP337" i="6" s="1"/>
  <c r="BP275" i="6"/>
  <c r="BP4" i="11"/>
  <c r="BP4" i="8"/>
  <c r="BP351" i="6"/>
  <c r="BP352" i="6" s="1"/>
  <c r="BP301" i="6"/>
  <c r="BP302" i="6" s="1"/>
  <c r="BP19" i="10"/>
  <c r="BP320" i="6"/>
  <c r="BP202" i="6"/>
  <c r="BP18" i="12"/>
  <c r="BP312" i="6"/>
  <c r="BP331" i="6"/>
  <c r="BP332" i="6" s="1"/>
  <c r="BP346" i="6"/>
  <c r="BP347" i="6" s="1"/>
  <c r="BP296" i="6"/>
  <c r="BP297" i="6" s="1"/>
  <c r="BP259" i="6"/>
  <c r="BP60" i="6"/>
  <c r="BP66" i="6"/>
  <c r="BP73" i="6"/>
  <c r="BP80" i="6"/>
  <c r="BP140" i="6"/>
  <c r="BP86" i="6"/>
  <c r="BP188" i="6"/>
  <c r="BP93" i="6"/>
  <c r="BP126" i="6"/>
  <c r="BP100" i="6"/>
  <c r="BP46" i="6"/>
  <c r="BQ28" i="6"/>
  <c r="BQ4" i="4" s="1"/>
  <c r="BP33" i="6"/>
  <c r="BP40" i="6"/>
  <c r="BP106" i="6"/>
  <c r="BP53" i="6"/>
  <c r="BP4" i="6"/>
  <c r="BP23" i="6"/>
  <c r="BP24" i="6" s="1"/>
  <c r="BP3" i="4" s="1"/>
  <c r="BP11" i="6"/>
  <c r="BP12" i="6" s="1"/>
  <c r="BP35" i="10"/>
  <c r="BN2" i="40"/>
  <c r="BN2" i="37"/>
  <c r="BN2" i="34"/>
  <c r="BN2" i="31"/>
  <c r="BN2" i="28"/>
  <c r="BN2" i="22"/>
  <c r="BN60" i="20"/>
  <c r="BN2" i="21"/>
  <c r="BN2" i="20"/>
  <c r="BN2" i="19"/>
  <c r="BN2" i="17"/>
  <c r="BN2" i="18"/>
  <c r="BN2" i="16"/>
  <c r="BN2" i="15"/>
  <c r="BN2" i="14"/>
  <c r="BN2" i="13"/>
  <c r="BN2" i="11"/>
  <c r="BN2" i="10"/>
  <c r="BN2" i="12"/>
  <c r="BN2" i="9"/>
  <c r="BN282" i="6"/>
  <c r="BN284" i="6" s="1"/>
  <c r="BN276" i="6" s="1"/>
  <c r="BN277" i="6" s="1"/>
  <c r="BN270" i="6" s="1"/>
  <c r="BN249" i="6"/>
  <c r="BN251" i="6" s="1"/>
  <c r="BN21" i="18" s="1"/>
  <c r="BN2" i="7"/>
  <c r="BN233" i="6"/>
  <c r="BN235" i="6" s="1"/>
  <c r="BN21" i="17" s="1"/>
  <c r="BN209" i="6"/>
  <c r="BN2" i="8"/>
  <c r="BN319" i="6"/>
  <c r="BN321" i="6" s="1"/>
  <c r="BN313" i="6"/>
  <c r="BO314" i="6" s="1"/>
  <c r="BN241" i="6"/>
  <c r="BN243" i="6" s="1"/>
  <c r="BN20" i="16" s="1"/>
  <c r="BN182" i="6"/>
  <c r="BN184" i="6" s="1"/>
  <c r="BN189" i="6" s="1"/>
  <c r="BN190" i="6" s="1"/>
  <c r="BN194" i="6" s="1"/>
  <c r="BN176" i="6"/>
  <c r="BN177" i="6" s="1"/>
  <c r="BN114" i="6"/>
  <c r="BN115" i="6" s="1"/>
  <c r="BN92" i="6"/>
  <c r="BN52" i="6"/>
  <c r="BN147" i="6"/>
  <c r="BN72" i="6"/>
  <c r="BN120" i="6"/>
  <c r="BN122" i="6" s="1"/>
  <c r="BN127" i="6" s="1"/>
  <c r="BN128" i="6" s="1"/>
  <c r="BN132" i="6" s="1"/>
  <c r="BN2" i="6"/>
  <c r="BN32" i="6"/>
  <c r="AC13" i="37"/>
  <c r="AC20" i="18"/>
  <c r="AC22" i="18" s="1"/>
  <c r="AC49" i="12"/>
  <c r="AC61" i="12"/>
  <c r="W8" i="28"/>
  <c r="W19" i="16"/>
  <c r="W21" i="16" s="1"/>
  <c r="W26" i="11"/>
  <c r="W27" i="11" s="1"/>
  <c r="BN61" i="20"/>
  <c r="BN67" i="20" s="1"/>
  <c r="W8" i="31"/>
  <c r="X20" i="13"/>
  <c r="BO74" i="6"/>
  <c r="BO81" i="6"/>
  <c r="BO87" i="6"/>
  <c r="BM141" i="6"/>
  <c r="BM162" i="6"/>
  <c r="W15" i="15"/>
  <c r="W14" i="34" s="1"/>
  <c r="W32" i="15"/>
  <c r="BL19" i="37"/>
  <c r="BM83" i="12"/>
  <c r="BM85" i="12" s="1"/>
  <c r="BM8" i="37"/>
  <c r="BM16" i="12"/>
  <c r="BM34" i="10"/>
  <c r="BM21" i="10"/>
  <c r="BM41" i="10"/>
  <c r="BM43" i="10" s="1"/>
  <c r="BM25" i="14" s="1"/>
  <c r="BM26" i="14" s="1"/>
  <c r="V48" i="18"/>
  <c r="V25" i="34" s="1"/>
  <c r="V34" i="18"/>
  <c r="V35" i="18" s="1"/>
  <c r="V13" i="18" s="1"/>
  <c r="V15" i="18" s="1"/>
  <c r="BM224" i="6"/>
  <c r="BM203" i="6"/>
  <c r="W17" i="34"/>
  <c r="W27" i="17"/>
  <c r="AC28" i="17" s="1"/>
  <c r="W12" i="17"/>
  <c r="BN18" i="37"/>
  <c r="BN62" i="12"/>
  <c r="BN22" i="13"/>
  <c r="BN30" i="13"/>
  <c r="BN84" i="12"/>
  <c r="BN26" i="31"/>
  <c r="BO11" i="21"/>
  <c r="BO13" i="21" s="1"/>
  <c r="BN29" i="9"/>
  <c r="BN40" i="12"/>
  <c r="BN32" i="12"/>
  <c r="BN13" i="10"/>
  <c r="BN14" i="10" s="1"/>
  <c r="X27" i="10"/>
  <c r="X29" i="10" s="1"/>
  <c r="V47" i="16"/>
  <c r="V24" i="34" s="1"/>
  <c r="V33" i="16"/>
  <c r="V34" i="16" s="1"/>
  <c r="V13" i="16" s="1"/>
  <c r="V15" i="16" s="1"/>
  <c r="V16" i="31"/>
  <c r="W11" i="17"/>
  <c r="BO9" i="37"/>
  <c r="BO17" i="12"/>
  <c r="BO22" i="10"/>
  <c r="BO42" i="10"/>
  <c r="BO59" i="20"/>
  <c r="BO53" i="20"/>
  <c r="BO54" i="20" s="1"/>
  <c r="BO58" i="20" s="1"/>
  <c r="BO234" i="6"/>
  <c r="BO242" i="6"/>
  <c r="BO290" i="6"/>
  <c r="BO291" i="6" s="1"/>
  <c r="BO283" i="6"/>
  <c r="BO250" i="6"/>
  <c r="BO121" i="6"/>
  <c r="BO18" i="6"/>
  <c r="BO19" i="6" s="1"/>
  <c r="BO2" i="4" s="1"/>
  <c r="BO183" i="6"/>
  <c r="BO47" i="6"/>
  <c r="BO41" i="6"/>
  <c r="BO34" i="6"/>
  <c r="BO14" i="37"/>
  <c r="BO76" i="12"/>
  <c r="BO77" i="12" s="1"/>
  <c r="BO64" i="12"/>
  <c r="BO72" i="12"/>
  <c r="BM54" i="6"/>
  <c r="BM61" i="6"/>
  <c r="BM67" i="6"/>
  <c r="V18" i="31" l="1"/>
  <c r="W11" i="18"/>
  <c r="BO26" i="31"/>
  <c r="BP11" i="21"/>
  <c r="BP13" i="21" s="1"/>
  <c r="BO29" i="9"/>
  <c r="V17" i="31"/>
  <c r="W11" i="16"/>
  <c r="X11" i="11"/>
  <c r="X12" i="11" s="1"/>
  <c r="X23" i="10"/>
  <c r="X24" i="10" s="1"/>
  <c r="X53" i="12"/>
  <c r="X54" i="12" s="1"/>
  <c r="BM19" i="37"/>
  <c r="BN83" i="12"/>
  <c r="BN85" i="12" s="1"/>
  <c r="X25" i="12"/>
  <c r="W9" i="19"/>
  <c r="W30" i="15"/>
  <c r="X11" i="13"/>
  <c r="BN54" i="6"/>
  <c r="BN61" i="6"/>
  <c r="BN67" i="6"/>
  <c r="BP34" i="6"/>
  <c r="BP47" i="6"/>
  <c r="BP41" i="6"/>
  <c r="W14" i="13"/>
  <c r="W13" i="28" s="1"/>
  <c r="W29" i="13"/>
  <c r="W31" i="13" s="1"/>
  <c r="AC21" i="34"/>
  <c r="AC12" i="18"/>
  <c r="BP9" i="37"/>
  <c r="BP17" i="12"/>
  <c r="BP22" i="10"/>
  <c r="BP42" i="10"/>
  <c r="BP94" i="6"/>
  <c r="BP101" i="6"/>
  <c r="BP107" i="6"/>
  <c r="BO18" i="37"/>
  <c r="BO22" i="13"/>
  <c r="BO30" i="13"/>
  <c r="BO84" i="12"/>
  <c r="BO62" i="12"/>
  <c r="BM49" i="15"/>
  <c r="BM34" i="15"/>
  <c r="BM12" i="14"/>
  <c r="BM27" i="14"/>
  <c r="BM9" i="28" s="1"/>
  <c r="W14" i="31"/>
  <c r="X24" i="11"/>
  <c r="BN141" i="6"/>
  <c r="BN162" i="6"/>
  <c r="BP59" i="20"/>
  <c r="BP53" i="20"/>
  <c r="BP54" i="20" s="1"/>
  <c r="BP58" i="20" s="1"/>
  <c r="BP234" i="6"/>
  <c r="BP242" i="6"/>
  <c r="BP183" i="6"/>
  <c r="BP290" i="6"/>
  <c r="BP291" i="6" s="1"/>
  <c r="BP283" i="6"/>
  <c r="BP250" i="6"/>
  <c r="BP121" i="6"/>
  <c r="BP18" i="6"/>
  <c r="BP19" i="6" s="1"/>
  <c r="BP2" i="4" s="1"/>
  <c r="BQ4" i="40"/>
  <c r="BQ4" i="37"/>
  <c r="BQ4" i="34"/>
  <c r="BQ4" i="31"/>
  <c r="BQ4" i="22"/>
  <c r="BQ4" i="28"/>
  <c r="BQ4" i="21"/>
  <c r="BQ10" i="21"/>
  <c r="BQ32" i="20"/>
  <c r="BQ74" i="20"/>
  <c r="BQ4" i="20"/>
  <c r="BQ28" i="19"/>
  <c r="BQ4" i="19"/>
  <c r="BQ4" i="18"/>
  <c r="BQ4" i="17"/>
  <c r="BQ10" i="18"/>
  <c r="BQ4" i="16"/>
  <c r="BQ10" i="17"/>
  <c r="BQ40" i="15"/>
  <c r="BQ10" i="16"/>
  <c r="BQ4" i="15"/>
  <c r="BQ27" i="15"/>
  <c r="BQ4" i="14"/>
  <c r="BQ27" i="13"/>
  <c r="BQ82" i="12"/>
  <c r="BQ19" i="13"/>
  <c r="BQ4" i="13"/>
  <c r="BQ46" i="12"/>
  <c r="BQ59" i="12"/>
  <c r="BQ12" i="10"/>
  <c r="BQ4" i="10"/>
  <c r="BQ35" i="9"/>
  <c r="BQ4" i="8"/>
  <c r="BQ69" i="12"/>
  <c r="BQ23" i="11"/>
  <c r="BQ18" i="12"/>
  <c r="BQ4" i="11"/>
  <c r="BQ19" i="10"/>
  <c r="BQ351" i="6"/>
  <c r="BQ352" i="6" s="1"/>
  <c r="BQ301" i="6"/>
  <c r="BQ302" i="6" s="1"/>
  <c r="BQ320" i="6"/>
  <c r="BQ4" i="7"/>
  <c r="BQ202" i="6"/>
  <c r="BQ4" i="12"/>
  <c r="BQ312" i="6"/>
  <c r="BQ4" i="9"/>
  <c r="BQ331" i="6"/>
  <c r="BQ332" i="6" s="1"/>
  <c r="BQ346" i="6"/>
  <c r="BQ347" i="6" s="1"/>
  <c r="BQ296" i="6"/>
  <c r="BQ297" i="6" s="1"/>
  <c r="BQ259" i="6"/>
  <c r="BQ66" i="6"/>
  <c r="BQ10" i="9"/>
  <c r="BQ73" i="6"/>
  <c r="BQ80" i="6"/>
  <c r="BQ4" i="6"/>
  <c r="BQ140" i="6"/>
  <c r="BQ86" i="6"/>
  <c r="BQ33" i="6"/>
  <c r="BQ336" i="6"/>
  <c r="BQ337" i="6" s="1"/>
  <c r="BQ275" i="6"/>
  <c r="BQ188" i="6"/>
  <c r="BQ93" i="6"/>
  <c r="BQ126" i="6"/>
  <c r="BQ100" i="6"/>
  <c r="BQ46" i="6"/>
  <c r="BQ106" i="6"/>
  <c r="BQ53" i="6"/>
  <c r="BQ23" i="6"/>
  <c r="BQ24" i="6" s="1"/>
  <c r="BQ3" i="4" s="1"/>
  <c r="BQ60" i="6"/>
  <c r="BQ40" i="6"/>
  <c r="BQ11" i="6"/>
  <c r="BQ12" i="6" s="1"/>
  <c r="BQ35" i="10"/>
  <c r="AC29" i="17"/>
  <c r="AC18" i="34" s="1"/>
  <c r="AC14" i="17"/>
  <c r="W19" i="34"/>
  <c r="W26" i="16"/>
  <c r="Y27" i="16" s="1"/>
  <c r="W12" i="16"/>
  <c r="BN224" i="6"/>
  <c r="BN203" i="6"/>
  <c r="BP3" i="40"/>
  <c r="BP3" i="37"/>
  <c r="BP3" i="34"/>
  <c r="BP3" i="31"/>
  <c r="BP3" i="28"/>
  <c r="BP3" i="22"/>
  <c r="BP3" i="21"/>
  <c r="BP3" i="20"/>
  <c r="BP3" i="18"/>
  <c r="BP3" i="19"/>
  <c r="BP3" i="17"/>
  <c r="BP3" i="16"/>
  <c r="BP3" i="15"/>
  <c r="BP3" i="14"/>
  <c r="BP3" i="13"/>
  <c r="BP3" i="11"/>
  <c r="BP3" i="12"/>
  <c r="BP3" i="10"/>
  <c r="BP3" i="9"/>
  <c r="BP3" i="7"/>
  <c r="BP3" i="8"/>
  <c r="BP59" i="6"/>
  <c r="BP79" i="6"/>
  <c r="BP39" i="6"/>
  <c r="BP99" i="6"/>
  <c r="BP3" i="6"/>
  <c r="BP14" i="37"/>
  <c r="BP72" i="12"/>
  <c r="BP64" i="12"/>
  <c r="BP76" i="12"/>
  <c r="BP77" i="12" s="1"/>
  <c r="BO2" i="40"/>
  <c r="BO2" i="37"/>
  <c r="BO2" i="31"/>
  <c r="BO2" i="34"/>
  <c r="BO2" i="21"/>
  <c r="BO2" i="28"/>
  <c r="BO2" i="22"/>
  <c r="BO60" i="20"/>
  <c r="BO61" i="20" s="1"/>
  <c r="BO67" i="20" s="1"/>
  <c r="BO2" i="20"/>
  <c r="BO2" i="19"/>
  <c r="BO2" i="16"/>
  <c r="BO2" i="17"/>
  <c r="BO2" i="18"/>
  <c r="BO2" i="15"/>
  <c r="BO2" i="14"/>
  <c r="BO2" i="13"/>
  <c r="BO2" i="11"/>
  <c r="BO2" i="10"/>
  <c r="BO2" i="12"/>
  <c r="BO249" i="6"/>
  <c r="BO251" i="6" s="1"/>
  <c r="BO21" i="18" s="1"/>
  <c r="BO2" i="7"/>
  <c r="BO233" i="6"/>
  <c r="BO235" i="6" s="1"/>
  <c r="BO21" i="17" s="1"/>
  <c r="BO209" i="6"/>
  <c r="BO2" i="8"/>
  <c r="BO319" i="6"/>
  <c r="BO321" i="6" s="1"/>
  <c r="BO313" i="6"/>
  <c r="BP314" i="6" s="1"/>
  <c r="BO241" i="6"/>
  <c r="BO243" i="6" s="1"/>
  <c r="BO20" i="16" s="1"/>
  <c r="BO2" i="9"/>
  <c r="BO282" i="6"/>
  <c r="BO284" i="6" s="1"/>
  <c r="BO276" i="6" s="1"/>
  <c r="BO277" i="6" s="1"/>
  <c r="BO270" i="6" s="1"/>
  <c r="BO52" i="6"/>
  <c r="BO182" i="6"/>
  <c r="BO184" i="6" s="1"/>
  <c r="BO189" i="6" s="1"/>
  <c r="BO190" i="6" s="1"/>
  <c r="BO194" i="6" s="1"/>
  <c r="BO147" i="6"/>
  <c r="BO72" i="6"/>
  <c r="BO120" i="6"/>
  <c r="BO122" i="6" s="1"/>
  <c r="BO127" i="6" s="1"/>
  <c r="BO128" i="6" s="1"/>
  <c r="BO132" i="6" s="1"/>
  <c r="BO32" i="6"/>
  <c r="BO114" i="6"/>
  <c r="BO115" i="6" s="1"/>
  <c r="BO92" i="6"/>
  <c r="BO176" i="6"/>
  <c r="BO177" i="6" s="1"/>
  <c r="BO2" i="6"/>
  <c r="BO32" i="12"/>
  <c r="BO40" i="12"/>
  <c r="BO13" i="10"/>
  <c r="BO14" i="10" s="1"/>
  <c r="BP74" i="6"/>
  <c r="BP81" i="6"/>
  <c r="BP87" i="6"/>
  <c r="W40" i="17"/>
  <c r="W41" i="17" s="1"/>
  <c r="BN8" i="37"/>
  <c r="BN16" i="12"/>
  <c r="BN34" i="10"/>
  <c r="BN21" i="10"/>
  <c r="BN41" i="10"/>
  <c r="BN43" i="10" s="1"/>
  <c r="BN25" i="14" s="1"/>
  <c r="BN26" i="14" s="1"/>
  <c r="BP26" i="31" l="1"/>
  <c r="BQ11" i="21"/>
  <c r="BP29" i="9"/>
  <c r="BQ9" i="37"/>
  <c r="BQ22" i="10"/>
  <c r="BQ42" i="10"/>
  <c r="BQ17" i="12"/>
  <c r="H35" i="10"/>
  <c r="X10" i="37"/>
  <c r="X24" i="12"/>
  <c r="X26" i="12" s="1"/>
  <c r="X31" i="12" s="1"/>
  <c r="X33" i="12" s="1"/>
  <c r="Y20" i="10"/>
  <c r="J28" i="25"/>
  <c r="J9" i="26"/>
  <c r="K8" i="26"/>
  <c r="K28" i="25"/>
  <c r="K14" i="26"/>
  <c r="K9" i="23"/>
  <c r="K18" i="26"/>
  <c r="M28" i="25"/>
  <c r="K9" i="26"/>
  <c r="L8" i="26"/>
  <c r="L14" i="26"/>
  <c r="J14" i="26"/>
  <c r="L28" i="25"/>
  <c r="L9" i="23"/>
  <c r="L18" i="26"/>
  <c r="L9" i="26"/>
  <c r="M18" i="26"/>
  <c r="M14" i="26"/>
  <c r="N9" i="26"/>
  <c r="N14" i="26"/>
  <c r="N28" i="25"/>
  <c r="M9" i="23"/>
  <c r="M8" i="26"/>
  <c r="M9" i="26"/>
  <c r="X16" i="19"/>
  <c r="X17" i="19" s="1"/>
  <c r="X42" i="15"/>
  <c r="X20" i="15"/>
  <c r="X25" i="11"/>
  <c r="K17" i="30"/>
  <c r="J9" i="39"/>
  <c r="K13" i="39"/>
  <c r="K13" i="30"/>
  <c r="K19" i="36"/>
  <c r="K20" i="36"/>
  <c r="K8" i="36"/>
  <c r="K9" i="39"/>
  <c r="J18" i="39"/>
  <c r="K8" i="30"/>
  <c r="J28" i="36"/>
  <c r="K11" i="39"/>
  <c r="K18" i="30"/>
  <c r="K28" i="36"/>
  <c r="J18" i="36"/>
  <c r="L28" i="36"/>
  <c r="J14" i="39"/>
  <c r="K18" i="36"/>
  <c r="L18" i="39"/>
  <c r="L13" i="39"/>
  <c r="K21" i="36"/>
  <c r="M18" i="39"/>
  <c r="K14" i="39"/>
  <c r="M8" i="39"/>
  <c r="L14" i="39"/>
  <c r="L9" i="39"/>
  <c r="M14" i="39"/>
  <c r="N14" i="39"/>
  <c r="L21" i="36"/>
  <c r="L9" i="30"/>
  <c r="M28" i="36"/>
  <c r="M9" i="30"/>
  <c r="L18" i="36"/>
  <c r="L8" i="39"/>
  <c r="N18" i="39"/>
  <c r="O9" i="39"/>
  <c r="O8" i="39"/>
  <c r="N9" i="39"/>
  <c r="J14" i="36"/>
  <c r="O18" i="39"/>
  <c r="O14" i="39"/>
  <c r="M9" i="39"/>
  <c r="P14" i="39"/>
  <c r="J9" i="30"/>
  <c r="P18" i="39"/>
  <c r="R9" i="39"/>
  <c r="N8" i="39"/>
  <c r="R9" i="30"/>
  <c r="N28" i="36"/>
  <c r="O28" i="36"/>
  <c r="O9" i="30"/>
  <c r="N9" i="30"/>
  <c r="Q14" i="39"/>
  <c r="P9" i="30"/>
  <c r="S9" i="39"/>
  <c r="P8" i="39"/>
  <c r="Q18" i="39"/>
  <c r="S28" i="36"/>
  <c r="P9" i="39"/>
  <c r="Q8" i="39"/>
  <c r="Q9" i="39"/>
  <c r="Q28" i="36"/>
  <c r="R18" i="39"/>
  <c r="P28" i="36"/>
  <c r="Q9" i="30"/>
  <c r="R8" i="39"/>
  <c r="R14" i="39"/>
  <c r="R28" i="36"/>
  <c r="S14" i="39"/>
  <c r="BQ34" i="6"/>
  <c r="BQ41" i="6"/>
  <c r="BQ47" i="6"/>
  <c r="J10" i="26"/>
  <c r="J9" i="24"/>
  <c r="K26" i="24"/>
  <c r="J17" i="26"/>
  <c r="J19" i="26"/>
  <c r="K19" i="26"/>
  <c r="J17" i="24"/>
  <c r="J8" i="24"/>
  <c r="J12" i="26"/>
  <c r="J26" i="24"/>
  <c r="J15" i="26"/>
  <c r="J18" i="24"/>
  <c r="J14" i="24"/>
  <c r="J10" i="24"/>
  <c r="J16" i="24"/>
  <c r="L26" i="24"/>
  <c r="L19" i="26"/>
  <c r="M19" i="26"/>
  <c r="M26" i="24"/>
  <c r="BP40" i="12"/>
  <c r="BP13" i="10"/>
  <c r="BP14" i="10" s="1"/>
  <c r="BP32" i="12"/>
  <c r="BP18" i="37"/>
  <c r="BP30" i="13"/>
  <c r="BP84" i="12"/>
  <c r="BP22" i="13"/>
  <c r="BP62" i="12"/>
  <c r="BQ59" i="20"/>
  <c r="BQ53" i="20"/>
  <c r="BQ54" i="20" s="1"/>
  <c r="BQ58" i="20" s="1"/>
  <c r="BQ242" i="6"/>
  <c r="BQ183" i="6"/>
  <c r="BQ290" i="6"/>
  <c r="BQ291" i="6" s="1"/>
  <c r="BQ283" i="6"/>
  <c r="BQ250" i="6"/>
  <c r="BQ234" i="6"/>
  <c r="BQ121" i="6"/>
  <c r="BQ18" i="6"/>
  <c r="BQ19" i="6" s="1"/>
  <c r="BQ2" i="4" s="1"/>
  <c r="K18" i="38"/>
  <c r="J9" i="38"/>
  <c r="K14" i="38"/>
  <c r="K28" i="35"/>
  <c r="J18" i="38"/>
  <c r="J18" i="35"/>
  <c r="J8" i="35"/>
  <c r="L18" i="38"/>
  <c r="J17" i="35"/>
  <c r="K9" i="38"/>
  <c r="J8" i="38"/>
  <c r="J28" i="35"/>
  <c r="J14" i="38"/>
  <c r="J21" i="35"/>
  <c r="M8" i="38"/>
  <c r="N11" i="38"/>
  <c r="L14" i="38"/>
  <c r="J11" i="38"/>
  <c r="M8" i="35"/>
  <c r="M14" i="38"/>
  <c r="L9" i="38"/>
  <c r="M28" i="35"/>
  <c r="M20" i="35"/>
  <c r="M16" i="29"/>
  <c r="M14" i="35"/>
  <c r="M21" i="35"/>
  <c r="M11" i="38"/>
  <c r="K18" i="35"/>
  <c r="M17" i="35"/>
  <c r="J14" i="35"/>
  <c r="N8" i="38"/>
  <c r="K11" i="38"/>
  <c r="M18" i="38"/>
  <c r="M9" i="38"/>
  <c r="M13" i="29"/>
  <c r="K8" i="38"/>
  <c r="M18" i="35"/>
  <c r="M16" i="38"/>
  <c r="N20" i="35"/>
  <c r="O9" i="29"/>
  <c r="M8" i="29"/>
  <c r="N16" i="38"/>
  <c r="M25" i="35"/>
  <c r="J13" i="38"/>
  <c r="M9" i="29"/>
  <c r="K17" i="35"/>
  <c r="M24" i="35"/>
  <c r="M23" i="35"/>
  <c r="L28" i="35"/>
  <c r="N9" i="29"/>
  <c r="M18" i="29"/>
  <c r="N14" i="38"/>
  <c r="P18" i="38"/>
  <c r="M13" i="38"/>
  <c r="O13" i="38"/>
  <c r="N28" i="35"/>
  <c r="N9" i="38"/>
  <c r="N8" i="35"/>
  <c r="N18" i="38"/>
  <c r="N18" i="35"/>
  <c r="O21" i="35"/>
  <c r="N13" i="38"/>
  <c r="O18" i="35"/>
  <c r="K9" i="29"/>
  <c r="J9" i="29"/>
  <c r="O14" i="38"/>
  <c r="N21" i="35"/>
  <c r="O8" i="38"/>
  <c r="K14" i="35"/>
  <c r="O28" i="35"/>
  <c r="O9" i="38"/>
  <c r="J13" i="29"/>
  <c r="J20" i="35"/>
  <c r="P28" i="35"/>
  <c r="O18" i="38"/>
  <c r="Q18" i="38"/>
  <c r="P9" i="29"/>
  <c r="Q9" i="29"/>
  <c r="Q9" i="38"/>
  <c r="J16" i="38"/>
  <c r="P9" i="38"/>
  <c r="P14" i="38"/>
  <c r="R9" i="38"/>
  <c r="R18" i="38"/>
  <c r="P8" i="38"/>
  <c r="Q28" i="35"/>
  <c r="Q8" i="38"/>
  <c r="Q14" i="38"/>
  <c r="S9" i="38"/>
  <c r="J16" i="29"/>
  <c r="S8" i="38"/>
  <c r="S9" i="29"/>
  <c r="R9" i="29"/>
  <c r="S28" i="35"/>
  <c r="R28" i="35"/>
  <c r="J8" i="29"/>
  <c r="R8" i="38"/>
  <c r="R14" i="38"/>
  <c r="J17" i="29"/>
  <c r="J19" i="35"/>
  <c r="J18" i="29"/>
  <c r="J23" i="35"/>
  <c r="J25" i="35"/>
  <c r="T8" i="38"/>
  <c r="S14" i="38"/>
  <c r="J24" i="35"/>
  <c r="S18" i="38"/>
  <c r="J22" i="35"/>
  <c r="K8" i="35"/>
  <c r="T9" i="38"/>
  <c r="U9" i="38"/>
  <c r="V9" i="38"/>
  <c r="T18" i="38"/>
  <c r="T28" i="35"/>
  <c r="V18" i="38"/>
  <c r="V14" i="38"/>
  <c r="T14" i="38"/>
  <c r="U9" i="29"/>
  <c r="V9" i="29"/>
  <c r="U28" i="35"/>
  <c r="U14" i="38"/>
  <c r="T9" i="29"/>
  <c r="W18" i="38"/>
  <c r="V28" i="35"/>
  <c r="U8" i="38"/>
  <c r="V8" i="38"/>
  <c r="U18" i="38"/>
  <c r="X9" i="29"/>
  <c r="X8" i="38"/>
  <c r="Z14" i="38"/>
  <c r="X9" i="38"/>
  <c r="Y28" i="35"/>
  <c r="Y14" i="38"/>
  <c r="W8" i="38"/>
  <c r="W9" i="29"/>
  <c r="Z8" i="38"/>
  <c r="W14" i="38"/>
  <c r="X18" i="38"/>
  <c r="X28" i="35"/>
  <c r="X14" i="38"/>
  <c r="W9" i="38"/>
  <c r="W28" i="35"/>
  <c r="Y9" i="29"/>
  <c r="Z9" i="38"/>
  <c r="Y9" i="38"/>
  <c r="Z28" i="35"/>
  <c r="Y18" i="38"/>
  <c r="Z18" i="38"/>
  <c r="Y8" i="38"/>
  <c r="Z9" i="29"/>
  <c r="AA18" i="38"/>
  <c r="AA28" i="35"/>
  <c r="AB18" i="38"/>
  <c r="AA14" i="38"/>
  <c r="AB9" i="38"/>
  <c r="AA9" i="38"/>
  <c r="AB28" i="35"/>
  <c r="AB14" i="38"/>
  <c r="AA9" i="29"/>
  <c r="AA8" i="38"/>
  <c r="AC9" i="38"/>
  <c r="AC14" i="38"/>
  <c r="AB8" i="38"/>
  <c r="AC28" i="35"/>
  <c r="K8" i="29"/>
  <c r="K16" i="29"/>
  <c r="K18" i="29"/>
  <c r="K24" i="35"/>
  <c r="BQ94" i="6"/>
  <c r="BQ101" i="6"/>
  <c r="BO102" i="6" s="1"/>
  <c r="BQ107" i="6"/>
  <c r="K9" i="33"/>
  <c r="K17" i="39"/>
  <c r="K19" i="39"/>
  <c r="J16" i="33"/>
  <c r="K16" i="33"/>
  <c r="J17" i="39"/>
  <c r="K18" i="33"/>
  <c r="J10" i="39"/>
  <c r="K14" i="33"/>
  <c r="K12" i="39"/>
  <c r="K10" i="33"/>
  <c r="K26" i="33"/>
  <c r="K17" i="33"/>
  <c r="K8" i="33"/>
  <c r="L26" i="33"/>
  <c r="J26" i="33"/>
  <c r="M26" i="33"/>
  <c r="K10" i="39"/>
  <c r="M19" i="39"/>
  <c r="K15" i="39"/>
  <c r="L19" i="39"/>
  <c r="N19" i="39"/>
  <c r="N26" i="33"/>
  <c r="P19" i="39"/>
  <c r="O26" i="33"/>
  <c r="O19" i="39"/>
  <c r="P26" i="33"/>
  <c r="Q26" i="33"/>
  <c r="R26" i="33"/>
  <c r="Q19" i="39"/>
  <c r="R19" i="39"/>
  <c r="BO95" i="6"/>
  <c r="BN95" i="6"/>
  <c r="BL95" i="6"/>
  <c r="W40" i="18"/>
  <c r="W41" i="18" s="1"/>
  <c r="W27" i="18"/>
  <c r="W28" i="18" s="1"/>
  <c r="BO141" i="6"/>
  <c r="BO162" i="6"/>
  <c r="BQ42" i="6"/>
  <c r="BQ95" i="6"/>
  <c r="BO35" i="6"/>
  <c r="BN19" i="37"/>
  <c r="BO83" i="12"/>
  <c r="BO85" i="12" s="1"/>
  <c r="W33" i="17"/>
  <c r="W42" i="17"/>
  <c r="W16" i="28" s="1"/>
  <c r="W46" i="17"/>
  <c r="W47" i="17" s="1"/>
  <c r="BO61" i="6"/>
  <c r="BO67" i="6"/>
  <c r="BO54" i="6"/>
  <c r="BP42" i="6"/>
  <c r="W32" i="13"/>
  <c r="W9" i="31" s="1"/>
  <c r="X28" i="13"/>
  <c r="W39" i="16"/>
  <c r="W40" i="16" s="1"/>
  <c r="BN34" i="15"/>
  <c r="BN27" i="14"/>
  <c r="BN9" i="28" s="1"/>
  <c r="BN49" i="15"/>
  <c r="BN12" i="14"/>
  <c r="BQ3" i="40"/>
  <c r="BQ3" i="37"/>
  <c r="BQ3" i="34"/>
  <c r="BQ3" i="31"/>
  <c r="BQ3" i="28"/>
  <c r="BQ3" i="22"/>
  <c r="BQ3" i="21"/>
  <c r="BQ3" i="20"/>
  <c r="BQ3" i="19"/>
  <c r="BQ3" i="16"/>
  <c r="BQ3" i="17"/>
  <c r="BQ3" i="18"/>
  <c r="BQ3" i="14"/>
  <c r="BQ3" i="15"/>
  <c r="BQ3" i="13"/>
  <c r="BQ3" i="12"/>
  <c r="BQ3" i="11"/>
  <c r="BQ3" i="10"/>
  <c r="BQ3" i="8"/>
  <c r="BQ3" i="9"/>
  <c r="BQ3" i="7"/>
  <c r="BQ59" i="6"/>
  <c r="BQ79" i="6"/>
  <c r="BQ99" i="6"/>
  <c r="BQ3" i="6"/>
  <c r="BQ39" i="6"/>
  <c r="H24" i="6"/>
  <c r="BQ14" i="37"/>
  <c r="BQ64" i="12"/>
  <c r="BQ76" i="12"/>
  <c r="BQ77" i="12" s="1"/>
  <c r="AC18" i="38" s="1"/>
  <c r="BQ72" i="12"/>
  <c r="H18" i="12"/>
  <c r="BQ13" i="21"/>
  <c r="S26" i="33" s="1"/>
  <c r="BP2" i="40"/>
  <c r="BP2" i="37"/>
  <c r="BP2" i="34"/>
  <c r="BP2" i="31"/>
  <c r="BP2" i="28"/>
  <c r="BP2" i="22"/>
  <c r="BP60" i="20"/>
  <c r="BP61" i="20" s="1"/>
  <c r="BP67" i="20" s="1"/>
  <c r="BP2" i="20"/>
  <c r="BP2" i="19"/>
  <c r="BP2" i="18"/>
  <c r="BP2" i="17"/>
  <c r="BP2" i="21"/>
  <c r="BP2" i="16"/>
  <c r="BP2" i="14"/>
  <c r="BP2" i="13"/>
  <c r="BP2" i="15"/>
  <c r="BP2" i="10"/>
  <c r="BP2" i="9"/>
  <c r="BP2" i="12"/>
  <c r="BP2" i="11"/>
  <c r="BP2" i="7"/>
  <c r="BP233" i="6"/>
  <c r="BP235" i="6" s="1"/>
  <c r="BP21" i="17" s="1"/>
  <c r="BP209" i="6"/>
  <c r="BP2" i="8"/>
  <c r="BP319" i="6"/>
  <c r="BP321" i="6" s="1"/>
  <c r="BP313" i="6"/>
  <c r="BQ314" i="6" s="1"/>
  <c r="BP241" i="6"/>
  <c r="BP243" i="6" s="1"/>
  <c r="BP20" i="16" s="1"/>
  <c r="BP282" i="6"/>
  <c r="BP284" i="6" s="1"/>
  <c r="BP276" i="6" s="1"/>
  <c r="BP277" i="6" s="1"/>
  <c r="BP270" i="6" s="1"/>
  <c r="BP52" i="6"/>
  <c r="BP182" i="6"/>
  <c r="BP184" i="6" s="1"/>
  <c r="BP189" i="6" s="1"/>
  <c r="BP190" i="6" s="1"/>
  <c r="BP194" i="6" s="1"/>
  <c r="BP147" i="6"/>
  <c r="BP72" i="6"/>
  <c r="BP120" i="6"/>
  <c r="BP122" i="6" s="1"/>
  <c r="BP127" i="6" s="1"/>
  <c r="BP128" i="6" s="1"/>
  <c r="BP132" i="6" s="1"/>
  <c r="BP176" i="6"/>
  <c r="BP177" i="6" s="1"/>
  <c r="BP114" i="6"/>
  <c r="BP115" i="6" s="1"/>
  <c r="BP92" i="6"/>
  <c r="BP2" i="6"/>
  <c r="BP249" i="6"/>
  <c r="BP251" i="6" s="1"/>
  <c r="BP21" i="18" s="1"/>
  <c r="BP32" i="6"/>
  <c r="BP108" i="6"/>
  <c r="BO8" i="37"/>
  <c r="BO34" i="10"/>
  <c r="BO21" i="10"/>
  <c r="BO41" i="10"/>
  <c r="BO43" i="10" s="1"/>
  <c r="BO25" i="14" s="1"/>
  <c r="BO26" i="14" s="1"/>
  <c r="BO16" i="12"/>
  <c r="BO203" i="6"/>
  <c r="BO224" i="6"/>
  <c r="Y28" i="16"/>
  <c r="Y20" i="34" s="1"/>
  <c r="Y14" i="16"/>
  <c r="BQ74" i="6"/>
  <c r="BN75" i="6" s="1"/>
  <c r="BQ81" i="6"/>
  <c r="BO82" i="6" s="1"/>
  <c r="BQ87" i="6"/>
  <c r="BN88" i="6" s="1"/>
  <c r="K26" i="32"/>
  <c r="J26" i="32"/>
  <c r="K17" i="32"/>
  <c r="K18" i="32"/>
  <c r="K19" i="38"/>
  <c r="L9" i="32"/>
  <c r="L18" i="32"/>
  <c r="L19" i="38"/>
  <c r="L26" i="32"/>
  <c r="L12" i="38"/>
  <c r="L8" i="32"/>
  <c r="M8" i="32"/>
  <c r="L10" i="32"/>
  <c r="L14" i="32"/>
  <c r="L17" i="38"/>
  <c r="L17" i="32"/>
  <c r="L10" i="38"/>
  <c r="M26" i="32"/>
  <c r="M18" i="32"/>
  <c r="M17" i="38"/>
  <c r="J8" i="32"/>
  <c r="M10" i="38"/>
  <c r="M16" i="32"/>
  <c r="M17" i="32"/>
  <c r="M19" i="38"/>
  <c r="J19" i="38"/>
  <c r="M9" i="32"/>
  <c r="M12" i="38"/>
  <c r="M15" i="38"/>
  <c r="N26" i="32"/>
  <c r="J12" i="38"/>
  <c r="M14" i="32"/>
  <c r="N19" i="38"/>
  <c r="M10" i="32"/>
  <c r="N10" i="38"/>
  <c r="P19" i="38"/>
  <c r="S19" i="38"/>
  <c r="O26" i="32"/>
  <c r="O19" i="38"/>
  <c r="R26" i="32"/>
  <c r="R19" i="38"/>
  <c r="J17" i="38"/>
  <c r="S26" i="32"/>
  <c r="J15" i="38"/>
  <c r="J10" i="32"/>
  <c r="P26" i="32"/>
  <c r="J9" i="32"/>
  <c r="Q19" i="38"/>
  <c r="Q26" i="32"/>
  <c r="T26" i="32"/>
  <c r="T19" i="38"/>
  <c r="V19" i="38"/>
  <c r="J16" i="32"/>
  <c r="J14" i="32"/>
  <c r="U19" i="38"/>
  <c r="U26" i="32"/>
  <c r="V26" i="32"/>
  <c r="J17" i="32"/>
  <c r="J18" i="32"/>
  <c r="K9" i="32"/>
  <c r="Z19" i="38"/>
  <c r="W19" i="38"/>
  <c r="W26" i="32"/>
  <c r="X19" i="38"/>
  <c r="X26" i="32"/>
  <c r="Y19" i="38"/>
  <c r="AB26" i="32"/>
  <c r="AA26" i="32"/>
  <c r="AA19" i="38"/>
  <c r="Z26" i="32"/>
  <c r="Y26" i="32"/>
  <c r="AB19" i="38"/>
  <c r="AC26" i="32"/>
  <c r="K16" i="32"/>
  <c r="BL35" i="6"/>
  <c r="X16" i="37"/>
  <c r="X63" i="12"/>
  <c r="X65" i="12" s="1"/>
  <c r="N15" i="38" s="1"/>
  <c r="X71" i="12"/>
  <c r="X73" i="12" s="1"/>
  <c r="BQ82" i="6" l="1"/>
  <c r="BP82" i="6"/>
  <c r="BO49" i="15"/>
  <c r="BO12" i="14"/>
  <c r="BO34" i="15"/>
  <c r="BO27" i="14"/>
  <c r="H79" i="6"/>
  <c r="H39" i="6"/>
  <c r="H99" i="6"/>
  <c r="H59" i="6"/>
  <c r="J95" i="6"/>
  <c r="K95" i="6"/>
  <c r="L95" i="6"/>
  <c r="N95" i="6"/>
  <c r="M95" i="6"/>
  <c r="P95" i="6"/>
  <c r="O95" i="6"/>
  <c r="R95" i="6"/>
  <c r="Q95" i="6"/>
  <c r="T95" i="6"/>
  <c r="V95" i="6"/>
  <c r="U95" i="6"/>
  <c r="X95" i="6"/>
  <c r="Y95" i="6"/>
  <c r="W95" i="6"/>
  <c r="AA95" i="6"/>
  <c r="Z95" i="6"/>
  <c r="AC95" i="6"/>
  <c r="AB95" i="6"/>
  <c r="AE95" i="6"/>
  <c r="AD95" i="6"/>
  <c r="AG95" i="6"/>
  <c r="AF95" i="6"/>
  <c r="AJ95" i="6"/>
  <c r="AH95" i="6"/>
  <c r="AI95" i="6"/>
  <c r="AK95" i="6"/>
  <c r="AL95" i="6"/>
  <c r="AM95" i="6"/>
  <c r="AN95" i="6"/>
  <c r="AO95" i="6"/>
  <c r="AP95" i="6"/>
  <c r="AQ95" i="6"/>
  <c r="AR95" i="6"/>
  <c r="AS95" i="6"/>
  <c r="AT95" i="6"/>
  <c r="AU95" i="6"/>
  <c r="AV95" i="6"/>
  <c r="AW95" i="6"/>
  <c r="AX95" i="6"/>
  <c r="AZ95" i="6"/>
  <c r="BB95" i="6"/>
  <c r="AY95" i="6"/>
  <c r="BC95" i="6"/>
  <c r="BA95" i="6"/>
  <c r="BE95" i="6"/>
  <c r="BD95" i="6"/>
  <c r="BF95" i="6"/>
  <c r="BG95" i="6"/>
  <c r="BH95" i="6"/>
  <c r="BI95" i="6"/>
  <c r="BJ95" i="6"/>
  <c r="BK95" i="6"/>
  <c r="BM95" i="6"/>
  <c r="BQ40" i="12"/>
  <c r="BQ32" i="12"/>
  <c r="BQ13" i="10"/>
  <c r="BQ14" i="10" s="1"/>
  <c r="H291" i="6"/>
  <c r="X11" i="37"/>
  <c r="X20" i="17"/>
  <c r="X22" i="17" s="1"/>
  <c r="X13" i="15"/>
  <c r="X14" i="15" s="1"/>
  <c r="X21" i="13"/>
  <c r="X23" i="13" s="1"/>
  <c r="X39" i="12"/>
  <c r="AD41" i="12" s="1"/>
  <c r="X48" i="12"/>
  <c r="X50" i="12" s="1"/>
  <c r="X17" i="9"/>
  <c r="X18" i="9" s="1"/>
  <c r="H9" i="39"/>
  <c r="H9" i="38"/>
  <c r="H9" i="37"/>
  <c r="H9" i="26"/>
  <c r="H17" i="12"/>
  <c r="H22" i="10"/>
  <c r="H42" i="10"/>
  <c r="BO75" i="6"/>
  <c r="H14" i="38"/>
  <c r="H14" i="39"/>
  <c r="H14" i="37"/>
  <c r="H14" i="26"/>
  <c r="H64" i="12"/>
  <c r="H72" i="12"/>
  <c r="H76" i="12"/>
  <c r="AB9" i="29"/>
  <c r="S8" i="39"/>
  <c r="X21" i="19"/>
  <c r="X43" i="15"/>
  <c r="X45" i="15" s="1"/>
  <c r="X21" i="15"/>
  <c r="W45" i="16"/>
  <c r="W46" i="16" s="1"/>
  <c r="W32" i="16"/>
  <c r="W41" i="16"/>
  <c r="BP75" i="6"/>
  <c r="BQ18" i="37"/>
  <c r="BQ30" i="13"/>
  <c r="BQ84" i="12"/>
  <c r="BQ22" i="13"/>
  <c r="BQ62" i="12"/>
  <c r="J18" i="26"/>
  <c r="K18" i="39"/>
  <c r="H77" i="12"/>
  <c r="BQ2" i="40"/>
  <c r="BQ2" i="37"/>
  <c r="BQ2" i="34"/>
  <c r="BQ2" i="31"/>
  <c r="BQ2" i="28"/>
  <c r="BQ2" i="21"/>
  <c r="BQ2" i="22"/>
  <c r="BQ60" i="20"/>
  <c r="BQ2" i="20"/>
  <c r="BQ2" i="19"/>
  <c r="BQ2" i="18"/>
  <c r="BQ2" i="17"/>
  <c r="BQ2" i="16"/>
  <c r="BQ2" i="15"/>
  <c r="BQ2" i="14"/>
  <c r="BQ2" i="13"/>
  <c r="BQ2" i="10"/>
  <c r="BQ2" i="12"/>
  <c r="BQ2" i="8"/>
  <c r="BQ2" i="11"/>
  <c r="BQ2" i="7"/>
  <c r="BQ233" i="6"/>
  <c r="BQ235" i="6" s="1"/>
  <c r="BQ319" i="6"/>
  <c r="BQ321" i="6" s="1"/>
  <c r="BQ313" i="6"/>
  <c r="BQ241" i="6"/>
  <c r="BQ243" i="6" s="1"/>
  <c r="BQ182" i="6"/>
  <c r="BQ184" i="6" s="1"/>
  <c r="BQ282" i="6"/>
  <c r="BQ284" i="6" s="1"/>
  <c r="BQ2" i="9"/>
  <c r="BQ249" i="6"/>
  <c r="BQ251" i="6" s="1"/>
  <c r="BQ147" i="6"/>
  <c r="BQ72" i="6"/>
  <c r="BQ120" i="6"/>
  <c r="BQ122" i="6" s="1"/>
  <c r="BQ176" i="6"/>
  <c r="BQ177" i="6" s="1"/>
  <c r="BQ114" i="6"/>
  <c r="BQ115" i="6" s="1"/>
  <c r="BQ92" i="6"/>
  <c r="S95" i="6" s="1"/>
  <c r="BQ209" i="6"/>
  <c r="BQ2" i="6"/>
  <c r="BQ52" i="6"/>
  <c r="BQ32" i="6"/>
  <c r="BQ61" i="20"/>
  <c r="N26" i="24"/>
  <c r="J48" i="6"/>
  <c r="K48" i="6"/>
  <c r="M48" i="6"/>
  <c r="O48" i="6"/>
  <c r="L48" i="6"/>
  <c r="N48" i="6"/>
  <c r="Q48" i="6"/>
  <c r="P48" i="6"/>
  <c r="R48" i="6"/>
  <c r="V48" i="6"/>
  <c r="S48" i="6"/>
  <c r="T48" i="6"/>
  <c r="U48" i="6"/>
  <c r="Z48" i="6"/>
  <c r="W48" i="6"/>
  <c r="X48" i="6"/>
  <c r="Y48" i="6"/>
  <c r="AA48" i="6"/>
  <c r="AC48" i="6"/>
  <c r="AD48" i="6"/>
  <c r="AB48" i="6"/>
  <c r="AE48" i="6"/>
  <c r="AH48" i="6"/>
  <c r="AF48" i="6"/>
  <c r="AJ48" i="6"/>
  <c r="AK48" i="6"/>
  <c r="AG48" i="6"/>
  <c r="AI48" i="6"/>
  <c r="AL48" i="6"/>
  <c r="AM48" i="6"/>
  <c r="AN48" i="6"/>
  <c r="AO48" i="6"/>
  <c r="AQ48" i="6"/>
  <c r="AP48" i="6"/>
  <c r="AT48" i="6"/>
  <c r="AR48" i="6"/>
  <c r="AS48" i="6"/>
  <c r="AU48" i="6"/>
  <c r="AV48" i="6"/>
  <c r="AW48" i="6"/>
  <c r="AX48" i="6"/>
  <c r="AZ48" i="6"/>
  <c r="AY48" i="6"/>
  <c r="BA48" i="6"/>
  <c r="BC48" i="6"/>
  <c r="BB48" i="6"/>
  <c r="BD48" i="6"/>
  <c r="BE48" i="6"/>
  <c r="BH48" i="6"/>
  <c r="BF48" i="6"/>
  <c r="BI48" i="6"/>
  <c r="BG48" i="6"/>
  <c r="BL48" i="6"/>
  <c r="BJ48" i="6"/>
  <c r="BK48" i="6"/>
  <c r="BM48" i="6"/>
  <c r="BN48" i="6"/>
  <c r="BP48" i="6"/>
  <c r="K88" i="6"/>
  <c r="L88" i="6"/>
  <c r="N88" i="6"/>
  <c r="M88" i="6"/>
  <c r="P88" i="6"/>
  <c r="O88" i="6"/>
  <c r="Q88" i="6"/>
  <c r="S88" i="6"/>
  <c r="R88" i="6"/>
  <c r="U88" i="6"/>
  <c r="T88" i="6"/>
  <c r="W88" i="6"/>
  <c r="V88" i="6"/>
  <c r="Y88" i="6"/>
  <c r="X88" i="6"/>
  <c r="AA88" i="6"/>
  <c r="Z88" i="6"/>
  <c r="AB88" i="6"/>
  <c r="AC88" i="6"/>
  <c r="AF88" i="6"/>
  <c r="AD88" i="6"/>
  <c r="AE88" i="6"/>
  <c r="AG88" i="6"/>
  <c r="AH88" i="6"/>
  <c r="AI88" i="6"/>
  <c r="AM88" i="6"/>
  <c r="AL88" i="6"/>
  <c r="AJ88" i="6"/>
  <c r="AK88" i="6"/>
  <c r="AN88" i="6"/>
  <c r="AQ88" i="6"/>
  <c r="AO88" i="6"/>
  <c r="AP88" i="6"/>
  <c r="AR88" i="6"/>
  <c r="AS88" i="6"/>
  <c r="AT88" i="6"/>
  <c r="AV88" i="6"/>
  <c r="AU88" i="6"/>
  <c r="AX88" i="6"/>
  <c r="AZ88" i="6"/>
  <c r="AW88" i="6"/>
  <c r="BB88" i="6"/>
  <c r="AY88" i="6"/>
  <c r="BD88" i="6"/>
  <c r="BC88" i="6"/>
  <c r="BA88" i="6"/>
  <c r="BE88" i="6"/>
  <c r="BF88" i="6"/>
  <c r="BG88" i="6"/>
  <c r="BJ88" i="6"/>
  <c r="BH88" i="6"/>
  <c r="BL88" i="6"/>
  <c r="BI88" i="6"/>
  <c r="BO88" i="6"/>
  <c r="BM88" i="6"/>
  <c r="BK88" i="6"/>
  <c r="BP141" i="6"/>
  <c r="BP162" i="6"/>
  <c r="BQ75" i="6"/>
  <c r="W48" i="17"/>
  <c r="W34" i="17"/>
  <c r="J42" i="6"/>
  <c r="L42" i="6"/>
  <c r="K42" i="6"/>
  <c r="M42" i="6"/>
  <c r="N42" i="6"/>
  <c r="O42" i="6"/>
  <c r="P42" i="6"/>
  <c r="R42" i="6"/>
  <c r="Q42" i="6"/>
  <c r="T42" i="6"/>
  <c r="S42" i="6"/>
  <c r="U42" i="6"/>
  <c r="V42" i="6"/>
  <c r="W42" i="6"/>
  <c r="X42" i="6"/>
  <c r="Y42" i="6"/>
  <c r="AA42" i="6"/>
  <c r="Z42" i="6"/>
  <c r="AB42" i="6"/>
  <c r="AC42" i="6"/>
  <c r="AD42" i="6"/>
  <c r="AE42" i="6"/>
  <c r="AG42" i="6"/>
  <c r="AF42" i="6"/>
  <c r="AH42" i="6"/>
  <c r="AJ42" i="6"/>
  <c r="AI42" i="6"/>
  <c r="AK42" i="6"/>
  <c r="AL42" i="6"/>
  <c r="AM42" i="6"/>
  <c r="AN42" i="6"/>
  <c r="AQ42" i="6"/>
  <c r="AO42" i="6"/>
  <c r="AP42" i="6"/>
  <c r="AR42" i="6"/>
  <c r="AS42" i="6"/>
  <c r="AT42" i="6"/>
  <c r="AU42" i="6"/>
  <c r="AV42" i="6"/>
  <c r="AW42" i="6"/>
  <c r="AX42" i="6"/>
  <c r="BB42" i="6"/>
  <c r="AY42" i="6"/>
  <c r="BA42" i="6"/>
  <c r="AZ42" i="6"/>
  <c r="BE42" i="6"/>
  <c r="BC42" i="6"/>
  <c r="BD42" i="6"/>
  <c r="BF42" i="6"/>
  <c r="BG42" i="6"/>
  <c r="BH42" i="6"/>
  <c r="BI42" i="6"/>
  <c r="BJ42" i="6"/>
  <c r="BK42" i="6"/>
  <c r="BM42" i="6"/>
  <c r="BL42" i="6"/>
  <c r="BN42" i="6"/>
  <c r="BQ102" i="6"/>
  <c r="BO48" i="6"/>
  <c r="X17" i="37"/>
  <c r="Y70" i="12"/>
  <c r="X17" i="11"/>
  <c r="X18" i="11" s="1"/>
  <c r="X15" i="37"/>
  <c r="Y60" i="12"/>
  <c r="N17" i="38"/>
  <c r="K82" i="6"/>
  <c r="M82" i="6"/>
  <c r="L82" i="6"/>
  <c r="O82" i="6"/>
  <c r="N82" i="6"/>
  <c r="P82" i="6"/>
  <c r="Q82" i="6"/>
  <c r="R82" i="6"/>
  <c r="S82" i="6"/>
  <c r="T82" i="6"/>
  <c r="U82" i="6"/>
  <c r="V82" i="6"/>
  <c r="W82" i="6"/>
  <c r="X82" i="6"/>
  <c r="Y82" i="6"/>
  <c r="Z82" i="6"/>
  <c r="AB82" i="6"/>
  <c r="AC82" i="6"/>
  <c r="AA82" i="6"/>
  <c r="AF82" i="6"/>
  <c r="AD82" i="6"/>
  <c r="AE82" i="6"/>
  <c r="AH82" i="6"/>
  <c r="AG82" i="6"/>
  <c r="AI82" i="6"/>
  <c r="AJ82" i="6"/>
  <c r="AK82" i="6"/>
  <c r="AN82" i="6"/>
  <c r="AL82" i="6"/>
  <c r="AM82" i="6"/>
  <c r="AO82" i="6"/>
  <c r="AP82" i="6"/>
  <c r="AQ82" i="6"/>
  <c r="AR82" i="6"/>
  <c r="AU82" i="6"/>
  <c r="AS82" i="6"/>
  <c r="AT82" i="6"/>
  <c r="AV82" i="6"/>
  <c r="AW82" i="6"/>
  <c r="AX82" i="6"/>
  <c r="AY82" i="6"/>
  <c r="AZ82" i="6"/>
  <c r="BA82" i="6"/>
  <c r="BC82" i="6"/>
  <c r="BB82" i="6"/>
  <c r="BD82" i="6"/>
  <c r="BF82" i="6"/>
  <c r="BE82" i="6"/>
  <c r="BG82" i="6"/>
  <c r="BH82" i="6"/>
  <c r="BI82" i="6"/>
  <c r="BJ82" i="6"/>
  <c r="BM82" i="6"/>
  <c r="BK82" i="6"/>
  <c r="BL82" i="6"/>
  <c r="BP203" i="6"/>
  <c r="BP224" i="6"/>
  <c r="W29" i="18"/>
  <c r="W14" i="18"/>
  <c r="J35" i="6"/>
  <c r="K35" i="6"/>
  <c r="N35" i="6"/>
  <c r="L35" i="6"/>
  <c r="O35" i="6"/>
  <c r="M35" i="6"/>
  <c r="R35" i="6"/>
  <c r="P35" i="6"/>
  <c r="Q35" i="6"/>
  <c r="U35" i="6"/>
  <c r="S35" i="6"/>
  <c r="T35" i="6"/>
  <c r="V35" i="6"/>
  <c r="W35" i="6"/>
  <c r="X35" i="6"/>
  <c r="Y35" i="6"/>
  <c r="AA35" i="6"/>
  <c r="Z35" i="6"/>
  <c r="AC35" i="6"/>
  <c r="AB35" i="6"/>
  <c r="AD35" i="6"/>
  <c r="AG35" i="6"/>
  <c r="AE35" i="6"/>
  <c r="AF35" i="6"/>
  <c r="AH35" i="6"/>
  <c r="AI35" i="6"/>
  <c r="AJ35" i="6"/>
  <c r="AK35" i="6"/>
  <c r="AN35" i="6"/>
  <c r="AL35" i="6"/>
  <c r="AM35" i="6"/>
  <c r="AP35" i="6"/>
  <c r="AO35" i="6"/>
  <c r="AQ35" i="6"/>
  <c r="AR35" i="6"/>
  <c r="AS35" i="6"/>
  <c r="AT35" i="6"/>
  <c r="AU35" i="6"/>
  <c r="AW35" i="6"/>
  <c r="AV35" i="6"/>
  <c r="AY35" i="6"/>
  <c r="AZ35" i="6"/>
  <c r="AX35" i="6"/>
  <c r="BB35" i="6"/>
  <c r="BA35" i="6"/>
  <c r="BD35" i="6"/>
  <c r="BC35" i="6"/>
  <c r="BF35" i="6"/>
  <c r="BE35" i="6"/>
  <c r="BG35" i="6"/>
  <c r="BH35" i="6"/>
  <c r="BK35" i="6"/>
  <c r="BI35" i="6"/>
  <c r="BM35" i="6"/>
  <c r="BJ35" i="6"/>
  <c r="BP35" i="6"/>
  <c r="BN35" i="6"/>
  <c r="N18" i="26"/>
  <c r="BQ88" i="6"/>
  <c r="BP88" i="6"/>
  <c r="K75" i="6"/>
  <c r="L75" i="6"/>
  <c r="M75" i="6"/>
  <c r="N75" i="6"/>
  <c r="P75" i="6"/>
  <c r="O75" i="6"/>
  <c r="Q75" i="6"/>
  <c r="R75" i="6"/>
  <c r="T75" i="6"/>
  <c r="S75" i="6"/>
  <c r="U75" i="6"/>
  <c r="V75" i="6"/>
  <c r="X75" i="6"/>
  <c r="W75" i="6"/>
  <c r="Y75" i="6"/>
  <c r="Z75" i="6"/>
  <c r="AB75" i="6"/>
  <c r="AC75" i="6"/>
  <c r="AA75" i="6"/>
  <c r="AD75" i="6"/>
  <c r="AE75" i="6"/>
  <c r="AF75" i="6"/>
  <c r="AG75" i="6"/>
  <c r="AH75" i="6"/>
  <c r="AI75" i="6"/>
  <c r="AK75" i="6"/>
  <c r="AJ75" i="6"/>
  <c r="AM75" i="6"/>
  <c r="AL75" i="6"/>
  <c r="AN75" i="6"/>
  <c r="AO75" i="6"/>
  <c r="AP75" i="6"/>
  <c r="AQ75" i="6"/>
  <c r="AR75" i="6"/>
  <c r="AS75" i="6"/>
  <c r="AT75" i="6"/>
  <c r="AU75" i="6"/>
  <c r="AW75" i="6"/>
  <c r="AV75" i="6"/>
  <c r="AZ75" i="6"/>
  <c r="AX75" i="6"/>
  <c r="BB75" i="6"/>
  <c r="AY75" i="6"/>
  <c r="BC75" i="6"/>
  <c r="BD75" i="6"/>
  <c r="BA75" i="6"/>
  <c r="BE75" i="6"/>
  <c r="BF75" i="6"/>
  <c r="BG75" i="6"/>
  <c r="BH75" i="6"/>
  <c r="BJ75" i="6"/>
  <c r="BI75" i="6"/>
  <c r="BK75" i="6"/>
  <c r="BM75" i="6"/>
  <c r="BL75" i="6"/>
  <c r="BP67" i="6"/>
  <c r="BP54" i="6"/>
  <c r="BP61" i="6"/>
  <c r="W35" i="17"/>
  <c r="W13" i="17" s="1"/>
  <c r="W15" i="17" s="1"/>
  <c r="W33" i="18"/>
  <c r="W46" i="18"/>
  <c r="W47" i="18" s="1"/>
  <c r="W42" i="18"/>
  <c r="J108" i="6"/>
  <c r="K108" i="6"/>
  <c r="M108" i="6"/>
  <c r="L108" i="6"/>
  <c r="N108" i="6"/>
  <c r="O108" i="6"/>
  <c r="R108" i="6"/>
  <c r="P108" i="6"/>
  <c r="Q108" i="6"/>
  <c r="T108" i="6"/>
  <c r="S108" i="6"/>
  <c r="U108" i="6"/>
  <c r="W108" i="6"/>
  <c r="V108" i="6"/>
  <c r="X108" i="6"/>
  <c r="Y108" i="6"/>
  <c r="Z108" i="6"/>
  <c r="AA108" i="6"/>
  <c r="AB108" i="6"/>
  <c r="AC108" i="6"/>
  <c r="AD108" i="6"/>
  <c r="AE108" i="6"/>
  <c r="AG108" i="6"/>
  <c r="AF108" i="6"/>
  <c r="AH108" i="6"/>
  <c r="AJ108" i="6"/>
  <c r="AL108" i="6"/>
  <c r="AI108" i="6"/>
  <c r="AM108" i="6"/>
  <c r="AK108" i="6"/>
  <c r="AO108" i="6"/>
  <c r="AN108" i="6"/>
  <c r="AP108" i="6"/>
  <c r="AQ108" i="6"/>
  <c r="AS108" i="6"/>
  <c r="AR108" i="6"/>
  <c r="AT108" i="6"/>
  <c r="AU108" i="6"/>
  <c r="AW108" i="6"/>
  <c r="AV108" i="6"/>
  <c r="AX108" i="6"/>
  <c r="AY108" i="6"/>
  <c r="BB108" i="6"/>
  <c r="BA108" i="6"/>
  <c r="AZ108" i="6"/>
  <c r="BC108" i="6"/>
  <c r="BE108" i="6"/>
  <c r="BD108" i="6"/>
  <c r="BF108" i="6"/>
  <c r="BI108" i="6"/>
  <c r="BG108" i="6"/>
  <c r="BH108" i="6"/>
  <c r="BK108" i="6"/>
  <c r="BJ108" i="6"/>
  <c r="BL108" i="6"/>
  <c r="BM108" i="6"/>
  <c r="BN108" i="6"/>
  <c r="BO108" i="6"/>
  <c r="BQ48" i="6"/>
  <c r="BQ35" i="6"/>
  <c r="BN82" i="6"/>
  <c r="BO42" i="6"/>
  <c r="BQ26" i="31"/>
  <c r="BQ29" i="9"/>
  <c r="BO19" i="37"/>
  <c r="BP83" i="12"/>
  <c r="BP85" i="12" s="1"/>
  <c r="J102" i="6"/>
  <c r="K102" i="6"/>
  <c r="M102" i="6"/>
  <c r="L102" i="6"/>
  <c r="N102" i="6"/>
  <c r="O102" i="6"/>
  <c r="P102" i="6"/>
  <c r="Q102" i="6"/>
  <c r="R102" i="6"/>
  <c r="S102" i="6"/>
  <c r="V102" i="6"/>
  <c r="U102" i="6"/>
  <c r="T102" i="6"/>
  <c r="W102" i="6"/>
  <c r="X102" i="6"/>
  <c r="AA102" i="6"/>
  <c r="Z102" i="6"/>
  <c r="Y102" i="6"/>
  <c r="AC102" i="6"/>
  <c r="AB102" i="6"/>
  <c r="AD102" i="6"/>
  <c r="AE102" i="6"/>
  <c r="AF102" i="6"/>
  <c r="AG102" i="6"/>
  <c r="AJ102" i="6"/>
  <c r="AH102" i="6"/>
  <c r="AI102" i="6"/>
  <c r="AK102" i="6"/>
  <c r="AL102" i="6"/>
  <c r="AM102" i="6"/>
  <c r="AN102" i="6"/>
  <c r="AO102" i="6"/>
  <c r="AP102" i="6"/>
  <c r="AR102" i="6"/>
  <c r="AQ102" i="6"/>
  <c r="AS102" i="6"/>
  <c r="AU102" i="6"/>
  <c r="AT102" i="6"/>
  <c r="AX102" i="6"/>
  <c r="AV102" i="6"/>
  <c r="AW102" i="6"/>
  <c r="AZ102" i="6"/>
  <c r="AY102" i="6"/>
  <c r="BA102" i="6"/>
  <c r="BB102" i="6"/>
  <c r="BC102" i="6"/>
  <c r="BD102" i="6"/>
  <c r="BF102" i="6"/>
  <c r="BE102" i="6"/>
  <c r="BG102" i="6"/>
  <c r="BH102" i="6"/>
  <c r="BJ102" i="6"/>
  <c r="BK102" i="6"/>
  <c r="BI102" i="6"/>
  <c r="BM102" i="6"/>
  <c r="BN102" i="6"/>
  <c r="BL102" i="6"/>
  <c r="BP102" i="6"/>
  <c r="BP8" i="37"/>
  <c r="BP16" i="12"/>
  <c r="BP34" i="10"/>
  <c r="BP21" i="10"/>
  <c r="BP41" i="10"/>
  <c r="BP43" i="10" s="1"/>
  <c r="BP25" i="14" s="1"/>
  <c r="BP26" i="14" s="1"/>
  <c r="S18" i="39"/>
  <c r="Z22" i="15"/>
  <c r="Y28" i="10"/>
  <c r="BQ108" i="6"/>
  <c r="BP95" i="6"/>
  <c r="S2" i="39" l="1"/>
  <c r="S2" i="42"/>
  <c r="S2" i="36"/>
  <c r="S2" i="33"/>
  <c r="S2" i="30"/>
  <c r="X10" i="31"/>
  <c r="Y41" i="15"/>
  <c r="N10" i="32"/>
  <c r="O3" i="42"/>
  <c r="O3" i="39"/>
  <c r="O3" i="36"/>
  <c r="O3" i="33"/>
  <c r="O3" i="30"/>
  <c r="L4" i="42"/>
  <c r="L4" i="39"/>
  <c r="L4" i="36"/>
  <c r="L4" i="30"/>
  <c r="L4" i="33"/>
  <c r="AA2" i="41"/>
  <c r="AA2" i="38"/>
  <c r="AA2" i="35"/>
  <c r="AA2" i="32"/>
  <c r="AA2" i="29"/>
  <c r="U2" i="38"/>
  <c r="U2" i="41"/>
  <c r="U2" i="35"/>
  <c r="U2" i="32"/>
  <c r="U2" i="29"/>
  <c r="M2" i="41"/>
  <c r="M2" i="38"/>
  <c r="M2" i="35"/>
  <c r="M2" i="32"/>
  <c r="M2" i="29"/>
  <c r="V3" i="41"/>
  <c r="V3" i="38"/>
  <c r="V3" i="35"/>
  <c r="V3" i="32"/>
  <c r="V3" i="29"/>
  <c r="O3" i="41"/>
  <c r="O3" i="38"/>
  <c r="O3" i="35"/>
  <c r="O3" i="32"/>
  <c r="O3" i="29"/>
  <c r="V4" i="41"/>
  <c r="V4" i="38"/>
  <c r="V4" i="35"/>
  <c r="V4" i="32"/>
  <c r="V4" i="29"/>
  <c r="P4" i="41"/>
  <c r="P4" i="38"/>
  <c r="P4" i="35"/>
  <c r="P4" i="32"/>
  <c r="P4" i="29"/>
  <c r="K4" i="26"/>
  <c r="K4" i="25"/>
  <c r="K4" i="24"/>
  <c r="K4" i="23"/>
  <c r="X29" i="15"/>
  <c r="X10" i="12"/>
  <c r="X11" i="12" s="1"/>
  <c r="N2" i="39"/>
  <c r="N2" i="42"/>
  <c r="N2" i="36"/>
  <c r="N2" i="33"/>
  <c r="N2" i="30"/>
  <c r="N3" i="42"/>
  <c r="N3" i="39"/>
  <c r="N3" i="36"/>
  <c r="N3" i="30"/>
  <c r="N3" i="33"/>
  <c r="S4" i="42"/>
  <c r="S4" i="39"/>
  <c r="S4" i="36"/>
  <c r="S4" i="33"/>
  <c r="S4" i="30"/>
  <c r="M4" i="42"/>
  <c r="M4" i="39"/>
  <c r="M4" i="36"/>
  <c r="M4" i="33"/>
  <c r="M4" i="30"/>
  <c r="AC2" i="41"/>
  <c r="AC2" i="38"/>
  <c r="AC2" i="35"/>
  <c r="AC2" i="32"/>
  <c r="AC2" i="29"/>
  <c r="S2" i="41"/>
  <c r="S2" i="38"/>
  <c r="S2" i="35"/>
  <c r="S2" i="32"/>
  <c r="S2" i="29"/>
  <c r="L2" i="38"/>
  <c r="L2" i="41"/>
  <c r="L2" i="35"/>
  <c r="L2" i="32"/>
  <c r="L2" i="29"/>
  <c r="W22" i="34"/>
  <c r="AA3" i="38"/>
  <c r="AA3" i="41"/>
  <c r="AA3" i="35"/>
  <c r="AA3" i="32"/>
  <c r="AA3" i="29"/>
  <c r="U3" i="38"/>
  <c r="U3" i="41"/>
  <c r="U3" i="35"/>
  <c r="U3" i="32"/>
  <c r="U3" i="29"/>
  <c r="L3" i="41"/>
  <c r="L3" i="38"/>
  <c r="L3" i="35"/>
  <c r="L3" i="32"/>
  <c r="L3" i="29"/>
  <c r="N3" i="23"/>
  <c r="N3" i="26"/>
  <c r="N3" i="25"/>
  <c r="N3" i="24"/>
  <c r="W4" i="41"/>
  <c r="W4" i="38"/>
  <c r="W4" i="35"/>
  <c r="W4" i="32"/>
  <c r="W4" i="29"/>
  <c r="M4" i="41"/>
  <c r="M4" i="38"/>
  <c r="M4" i="35"/>
  <c r="M4" i="32"/>
  <c r="M4" i="29"/>
  <c r="J4" i="26"/>
  <c r="J4" i="25"/>
  <c r="J4" i="24"/>
  <c r="J4" i="23"/>
  <c r="BQ276" i="6"/>
  <c r="BQ277" i="6" s="1"/>
  <c r="H284" i="6"/>
  <c r="H276" i="6" s="1"/>
  <c r="X12" i="37"/>
  <c r="X12" i="13"/>
  <c r="X13" i="13" s="1"/>
  <c r="Y47" i="12"/>
  <c r="N12" i="38"/>
  <c r="H40" i="12"/>
  <c r="H32" i="12"/>
  <c r="H13" i="10"/>
  <c r="L2" i="42"/>
  <c r="L2" i="39"/>
  <c r="L2" i="36"/>
  <c r="L2" i="33"/>
  <c r="L2" i="30"/>
  <c r="L3" i="42"/>
  <c r="L3" i="39"/>
  <c r="L3" i="36"/>
  <c r="L3" i="33"/>
  <c r="L3" i="30"/>
  <c r="K4" i="42"/>
  <c r="K4" i="39"/>
  <c r="K4" i="36"/>
  <c r="K4" i="33"/>
  <c r="K4" i="30"/>
  <c r="AB2" i="41"/>
  <c r="AB2" i="38"/>
  <c r="AB2" i="35"/>
  <c r="AB2" i="32"/>
  <c r="AB2" i="29"/>
  <c r="T2" i="41"/>
  <c r="T2" i="38"/>
  <c r="T2" i="35"/>
  <c r="T2" i="32"/>
  <c r="T2" i="29"/>
  <c r="K2" i="41"/>
  <c r="K2" i="38"/>
  <c r="K2" i="32"/>
  <c r="K2" i="35"/>
  <c r="K2" i="29"/>
  <c r="M2" i="26"/>
  <c r="M2" i="25"/>
  <c r="M2" i="24"/>
  <c r="M2" i="23"/>
  <c r="AC3" i="38"/>
  <c r="AC3" i="41"/>
  <c r="AC3" i="35"/>
  <c r="AC3" i="32"/>
  <c r="AC3" i="29"/>
  <c r="T3" i="41"/>
  <c r="T3" i="38"/>
  <c r="T3" i="35"/>
  <c r="T3" i="32"/>
  <c r="T3" i="29"/>
  <c r="M3" i="38"/>
  <c r="M3" i="41"/>
  <c r="M3" i="35"/>
  <c r="M3" i="32"/>
  <c r="M3" i="29"/>
  <c r="M3" i="23"/>
  <c r="M3" i="24"/>
  <c r="M3" i="26"/>
  <c r="M3" i="25"/>
  <c r="AC4" i="41"/>
  <c r="AC4" i="38"/>
  <c r="AC4" i="35"/>
  <c r="AC4" i="32"/>
  <c r="AC4" i="29"/>
  <c r="T4" i="41"/>
  <c r="T4" i="38"/>
  <c r="T4" i="35"/>
  <c r="T4" i="32"/>
  <c r="T4" i="29"/>
  <c r="N4" i="41"/>
  <c r="N4" i="38"/>
  <c r="N4" i="35"/>
  <c r="N4" i="32"/>
  <c r="N4" i="29"/>
  <c r="BQ141" i="6"/>
  <c r="BQ162" i="6"/>
  <c r="H115" i="6"/>
  <c r="BQ189" i="6"/>
  <c r="BQ190" i="6" s="1"/>
  <c r="H184" i="6"/>
  <c r="H189" i="6" s="1"/>
  <c r="AD13" i="37"/>
  <c r="AD20" i="18"/>
  <c r="AD22" i="18" s="1"/>
  <c r="AD61" i="12"/>
  <c r="AD49" i="12"/>
  <c r="P13" i="38"/>
  <c r="BQ8" i="37"/>
  <c r="BQ16" i="12"/>
  <c r="BQ21" i="10"/>
  <c r="BQ41" i="10"/>
  <c r="BQ43" i="10" s="1"/>
  <c r="BQ34" i="10"/>
  <c r="J8" i="26"/>
  <c r="J8" i="39"/>
  <c r="L8" i="38"/>
  <c r="K8" i="39"/>
  <c r="H14" i="10"/>
  <c r="AC8" i="38"/>
  <c r="Q2" i="42"/>
  <c r="Q2" i="39"/>
  <c r="Q2" i="36"/>
  <c r="Q2" i="33"/>
  <c r="Q2" i="30"/>
  <c r="K2" i="42"/>
  <c r="K2" i="39"/>
  <c r="K2" i="36"/>
  <c r="K2" i="33"/>
  <c r="K2" i="30"/>
  <c r="M3" i="42"/>
  <c r="M3" i="39"/>
  <c r="M3" i="36"/>
  <c r="M3" i="33"/>
  <c r="M3" i="30"/>
  <c r="Q4" i="39"/>
  <c r="Q4" i="42"/>
  <c r="Q4" i="36"/>
  <c r="Q4" i="33"/>
  <c r="Q4" i="30"/>
  <c r="J4" i="42"/>
  <c r="J4" i="39"/>
  <c r="J4" i="36"/>
  <c r="J4" i="33"/>
  <c r="J4" i="30"/>
  <c r="Z2" i="41"/>
  <c r="Z2" i="38"/>
  <c r="Z2" i="35"/>
  <c r="Z2" i="32"/>
  <c r="Z2" i="29"/>
  <c r="R2" i="41"/>
  <c r="R2" i="38"/>
  <c r="R2" i="35"/>
  <c r="R2" i="32"/>
  <c r="R2" i="29"/>
  <c r="AB3" i="41"/>
  <c r="AB3" i="38"/>
  <c r="AB3" i="35"/>
  <c r="AB3" i="32"/>
  <c r="AB3" i="29"/>
  <c r="S3" i="38"/>
  <c r="S3" i="41"/>
  <c r="S3" i="35"/>
  <c r="S3" i="32"/>
  <c r="S3" i="29"/>
  <c r="K3" i="41"/>
  <c r="K3" i="38"/>
  <c r="K3" i="35"/>
  <c r="K3" i="32"/>
  <c r="K3" i="29"/>
  <c r="H82" i="6"/>
  <c r="K3" i="26"/>
  <c r="K3" i="25"/>
  <c r="K3" i="24"/>
  <c r="K3" i="23"/>
  <c r="AB4" i="41"/>
  <c r="AB4" i="38"/>
  <c r="AB4" i="35"/>
  <c r="AB4" i="32"/>
  <c r="AB4" i="29"/>
  <c r="U4" i="38"/>
  <c r="U4" i="41"/>
  <c r="U4" i="35"/>
  <c r="U4" i="32"/>
  <c r="U4" i="29"/>
  <c r="L4" i="38"/>
  <c r="L4" i="41"/>
  <c r="L4" i="35"/>
  <c r="L4" i="32"/>
  <c r="L4" i="29"/>
  <c r="BQ67" i="20"/>
  <c r="H61" i="20"/>
  <c r="H67" i="20" s="1"/>
  <c r="BQ203" i="6"/>
  <c r="BQ224" i="6"/>
  <c r="H177" i="6"/>
  <c r="BQ20" i="16"/>
  <c r="H243" i="6"/>
  <c r="H20" i="16" s="1"/>
  <c r="W17" i="28"/>
  <c r="X8" i="31"/>
  <c r="Y20" i="13"/>
  <c r="N8" i="32"/>
  <c r="R2" i="39"/>
  <c r="R2" i="42"/>
  <c r="R2" i="36"/>
  <c r="R2" i="33"/>
  <c r="R2" i="30"/>
  <c r="J2" i="39"/>
  <c r="J2" i="42"/>
  <c r="J2" i="36"/>
  <c r="J2" i="33"/>
  <c r="J2" i="30"/>
  <c r="BO9" i="28"/>
  <c r="S3" i="42"/>
  <c r="S3" i="39"/>
  <c r="S3" i="36"/>
  <c r="S3" i="33"/>
  <c r="S3" i="30"/>
  <c r="K3" i="42"/>
  <c r="K3" i="39"/>
  <c r="K3" i="36"/>
  <c r="K3" i="33"/>
  <c r="K3" i="30"/>
  <c r="P4" i="39"/>
  <c r="P4" i="42"/>
  <c r="P4" i="36"/>
  <c r="P4" i="33"/>
  <c r="P4" i="30"/>
  <c r="W18" i="28"/>
  <c r="Y2" i="38"/>
  <c r="Y2" i="41"/>
  <c r="Y2" i="35"/>
  <c r="Y2" i="32"/>
  <c r="Y2" i="29"/>
  <c r="Q2" i="38"/>
  <c r="Q2" i="41"/>
  <c r="Q2" i="35"/>
  <c r="Q2" i="32"/>
  <c r="Q2" i="29"/>
  <c r="L2" i="25"/>
  <c r="L2" i="24"/>
  <c r="L2" i="23"/>
  <c r="L2" i="26"/>
  <c r="Z3" i="41"/>
  <c r="Z3" i="38"/>
  <c r="Z3" i="35"/>
  <c r="Z3" i="32"/>
  <c r="Z3" i="29"/>
  <c r="R3" i="38"/>
  <c r="R3" i="41"/>
  <c r="R3" i="35"/>
  <c r="R3" i="32"/>
  <c r="R3" i="29"/>
  <c r="L3" i="24"/>
  <c r="L3" i="23"/>
  <c r="L3" i="26"/>
  <c r="L3" i="25"/>
  <c r="Z4" i="41"/>
  <c r="Z4" i="38"/>
  <c r="Z4" i="35"/>
  <c r="Z4" i="32"/>
  <c r="Z4" i="29"/>
  <c r="R4" i="41"/>
  <c r="R4" i="38"/>
  <c r="R4" i="35"/>
  <c r="R4" i="32"/>
  <c r="R4" i="29"/>
  <c r="K4" i="41"/>
  <c r="K4" i="38"/>
  <c r="K4" i="35"/>
  <c r="K4" i="32"/>
  <c r="K4" i="29"/>
  <c r="N4" i="26"/>
  <c r="N4" i="25"/>
  <c r="N4" i="24"/>
  <c r="N4" i="23"/>
  <c r="BQ127" i="6"/>
  <c r="BQ128" i="6" s="1"/>
  <c r="H122" i="6"/>
  <c r="H127" i="6" s="1"/>
  <c r="X15" i="15"/>
  <c r="X32" i="15"/>
  <c r="O2" i="39"/>
  <c r="O2" i="42"/>
  <c r="O2" i="36"/>
  <c r="O2" i="33"/>
  <c r="O2" i="30"/>
  <c r="Z8" i="34"/>
  <c r="Z44" i="15"/>
  <c r="R3" i="39"/>
  <c r="R3" i="42"/>
  <c r="R3" i="36"/>
  <c r="R3" i="33"/>
  <c r="R3" i="30"/>
  <c r="J3" i="42"/>
  <c r="J3" i="39"/>
  <c r="J3" i="36"/>
  <c r="J3" i="33"/>
  <c r="J3" i="30"/>
  <c r="H102" i="6"/>
  <c r="R4" i="42"/>
  <c r="R4" i="39"/>
  <c r="R4" i="36"/>
  <c r="R4" i="33"/>
  <c r="R4" i="30"/>
  <c r="W34" i="18"/>
  <c r="W48" i="18"/>
  <c r="W2" i="41"/>
  <c r="W2" i="38"/>
  <c r="W2" i="35"/>
  <c r="W2" i="32"/>
  <c r="W2" i="29"/>
  <c r="O2" i="38"/>
  <c r="O2" i="41"/>
  <c r="O2" i="35"/>
  <c r="O2" i="32"/>
  <c r="O2" i="29"/>
  <c r="N2" i="25"/>
  <c r="N2" i="24"/>
  <c r="N2" i="23"/>
  <c r="N2" i="26"/>
  <c r="Y3" i="41"/>
  <c r="Y3" i="38"/>
  <c r="Y3" i="35"/>
  <c r="Y3" i="32"/>
  <c r="Y3" i="29"/>
  <c r="Q3" i="41"/>
  <c r="Q3" i="38"/>
  <c r="Q3" i="35"/>
  <c r="Q3" i="32"/>
  <c r="Q3" i="29"/>
  <c r="Y27" i="10"/>
  <c r="Y29" i="10" s="1"/>
  <c r="J3" i="23"/>
  <c r="J3" i="25"/>
  <c r="J3" i="24"/>
  <c r="J3" i="26"/>
  <c r="H42" i="6"/>
  <c r="AA4" i="41"/>
  <c r="AA4" i="38"/>
  <c r="AA4" i="35"/>
  <c r="AA4" i="32"/>
  <c r="AA4" i="29"/>
  <c r="S4" i="41"/>
  <c r="S4" i="38"/>
  <c r="S4" i="35"/>
  <c r="S4" i="32"/>
  <c r="S4" i="29"/>
  <c r="L4" i="26"/>
  <c r="L4" i="25"/>
  <c r="L4" i="24"/>
  <c r="L4" i="23"/>
  <c r="BQ54" i="6"/>
  <c r="BO55" i="6" s="1"/>
  <c r="BQ61" i="6"/>
  <c r="BQ62" i="6" s="1"/>
  <c r="BQ67" i="6"/>
  <c r="BQ68" i="6" s="1"/>
  <c r="H18" i="39"/>
  <c r="H18" i="37"/>
  <c r="H18" i="38"/>
  <c r="H18" i="26"/>
  <c r="H22" i="13"/>
  <c r="H30" i="13"/>
  <c r="H84" i="12"/>
  <c r="H62" i="12"/>
  <c r="W33" i="16"/>
  <c r="W34" i="16" s="1"/>
  <c r="W13" i="16" s="1"/>
  <c r="W15" i="16" s="1"/>
  <c r="W47" i="16"/>
  <c r="BO68" i="6"/>
  <c r="X17" i="34"/>
  <c r="X27" i="17"/>
  <c r="AD28" i="17" s="1"/>
  <c r="X12" i="17"/>
  <c r="N17" i="35"/>
  <c r="BP49" i="15"/>
  <c r="BP27" i="14"/>
  <c r="BP12" i="14"/>
  <c r="BP34" i="15"/>
  <c r="Q3" i="39"/>
  <c r="Q3" i="42"/>
  <c r="Q3" i="36"/>
  <c r="Q3" i="33"/>
  <c r="Q3" i="30"/>
  <c r="BP19" i="37"/>
  <c r="BQ83" i="12"/>
  <c r="BQ85" i="12" s="1"/>
  <c r="O4" i="39"/>
  <c r="O4" i="42"/>
  <c r="O4" i="36"/>
  <c r="O4" i="33"/>
  <c r="O4" i="30"/>
  <c r="W35" i="18"/>
  <c r="W13" i="18" s="1"/>
  <c r="W15" i="18" s="1"/>
  <c r="X2" i="41"/>
  <c r="X2" i="38"/>
  <c r="X2" i="35"/>
  <c r="X2" i="32"/>
  <c r="X2" i="29"/>
  <c r="P2" i="41"/>
  <c r="P2" i="38"/>
  <c r="P2" i="35"/>
  <c r="P2" i="32"/>
  <c r="P2" i="29"/>
  <c r="K2" i="26"/>
  <c r="K2" i="25"/>
  <c r="K2" i="24"/>
  <c r="K2" i="23"/>
  <c r="X3" i="41"/>
  <c r="X3" i="38"/>
  <c r="X3" i="35"/>
  <c r="X3" i="32"/>
  <c r="X3" i="29"/>
  <c r="P3" i="41"/>
  <c r="P3" i="38"/>
  <c r="P3" i="35"/>
  <c r="P3" i="32"/>
  <c r="P3" i="29"/>
  <c r="X4" i="41"/>
  <c r="X4" i="38"/>
  <c r="X4" i="35"/>
  <c r="X4" i="32"/>
  <c r="X4" i="29"/>
  <c r="Q4" i="38"/>
  <c r="Q4" i="41"/>
  <c r="Q4" i="35"/>
  <c r="Q4" i="32"/>
  <c r="Q4" i="29"/>
  <c r="BQ21" i="17"/>
  <c r="H235" i="6"/>
  <c r="H21" i="17" s="1"/>
  <c r="BP68" i="6"/>
  <c r="P2" i="42"/>
  <c r="P2" i="39"/>
  <c r="P2" i="36"/>
  <c r="P2" i="33"/>
  <c r="P2" i="30"/>
  <c r="P3" i="39"/>
  <c r="P3" i="42"/>
  <c r="P3" i="36"/>
  <c r="P3" i="33"/>
  <c r="P3" i="30"/>
  <c r="N4" i="42"/>
  <c r="N4" i="39"/>
  <c r="N4" i="36"/>
  <c r="N4" i="33"/>
  <c r="N4" i="30"/>
  <c r="W16" i="31"/>
  <c r="X11" i="17"/>
  <c r="V2" i="38"/>
  <c r="V2" i="41"/>
  <c r="V2" i="35"/>
  <c r="V2" i="32"/>
  <c r="V2" i="29"/>
  <c r="N2" i="41"/>
  <c r="N2" i="38"/>
  <c r="N2" i="35"/>
  <c r="N2" i="32"/>
  <c r="N2" i="29"/>
  <c r="J2" i="23"/>
  <c r="J2" i="26"/>
  <c r="J2" i="25"/>
  <c r="J2" i="24"/>
  <c r="W3" i="41"/>
  <c r="W3" i="38"/>
  <c r="W3" i="35"/>
  <c r="W3" i="32"/>
  <c r="W3" i="29"/>
  <c r="N3" i="41"/>
  <c r="N3" i="38"/>
  <c r="N3" i="35"/>
  <c r="N3" i="32"/>
  <c r="N3" i="29"/>
  <c r="X8" i="28"/>
  <c r="X19" i="16"/>
  <c r="X21" i="16" s="1"/>
  <c r="X26" i="11"/>
  <c r="X27" i="11" s="1"/>
  <c r="N8" i="29"/>
  <c r="W23" i="34"/>
  <c r="Y4" i="38"/>
  <c r="Y4" i="41"/>
  <c r="Y4" i="35"/>
  <c r="Y4" i="32"/>
  <c r="Y4" i="29"/>
  <c r="O4" i="41"/>
  <c r="O4" i="38"/>
  <c r="O4" i="35"/>
  <c r="O4" i="32"/>
  <c r="O4" i="29"/>
  <c r="M4" i="23"/>
  <c r="M4" i="25"/>
  <c r="M4" i="24"/>
  <c r="M4" i="26"/>
  <c r="BQ21" i="18"/>
  <c r="H251" i="6"/>
  <c r="H21" i="18" s="1"/>
  <c r="M2" i="42"/>
  <c r="M2" i="39"/>
  <c r="M2" i="36"/>
  <c r="M2" i="33"/>
  <c r="M2" i="30"/>
  <c r="N8" i="26"/>
  <c r="W17" i="31" l="1"/>
  <c r="X11" i="16"/>
  <c r="X14" i="31"/>
  <c r="Y24" i="11"/>
  <c r="N14" i="32"/>
  <c r="BP9" i="28"/>
  <c r="X40" i="17"/>
  <c r="X41" i="17" s="1"/>
  <c r="W18" i="31"/>
  <c r="X11" i="18"/>
  <c r="W24" i="34"/>
  <c r="X14" i="34"/>
  <c r="N14" i="35"/>
  <c r="BQ25" i="14"/>
  <c r="BQ26" i="14" s="1"/>
  <c r="H43" i="10"/>
  <c r="H25" i="14" s="1"/>
  <c r="Y53" i="12"/>
  <c r="Y54" i="12" s="1"/>
  <c r="Y11" i="11"/>
  <c r="Y12" i="11" s="1"/>
  <c r="Y23" i="10"/>
  <c r="Y24" i="10" s="1"/>
  <c r="AD21" i="34"/>
  <c r="AD12" i="18"/>
  <c r="P21" i="35"/>
  <c r="Y25" i="12"/>
  <c r="L68" i="6"/>
  <c r="L4" i="27" s="1"/>
  <c r="J68" i="6"/>
  <c r="J4" i="27" s="1"/>
  <c r="K68" i="6"/>
  <c r="K4" i="27" s="1"/>
  <c r="M68" i="6"/>
  <c r="M4" i="27" s="1"/>
  <c r="N68" i="6"/>
  <c r="N4" i="27" s="1"/>
  <c r="O68" i="6"/>
  <c r="Q68" i="6"/>
  <c r="P68" i="6"/>
  <c r="R68" i="6"/>
  <c r="T68" i="6"/>
  <c r="S68" i="6"/>
  <c r="W68" i="6"/>
  <c r="V68" i="6"/>
  <c r="U68" i="6"/>
  <c r="X68" i="6"/>
  <c r="Y68" i="6"/>
  <c r="AA68" i="6"/>
  <c r="AC68" i="6"/>
  <c r="Z68" i="6"/>
  <c r="AB68" i="6"/>
  <c r="AD68" i="6"/>
  <c r="AE68" i="6"/>
  <c r="AF68" i="6"/>
  <c r="AG68" i="6"/>
  <c r="AH68" i="6"/>
  <c r="AJ68" i="6"/>
  <c r="AI68" i="6"/>
  <c r="AK68" i="6"/>
  <c r="AM68" i="6"/>
  <c r="AL68" i="6"/>
  <c r="AN68" i="6"/>
  <c r="AO68" i="6"/>
  <c r="AP68" i="6"/>
  <c r="AQ68" i="6"/>
  <c r="AR68" i="6"/>
  <c r="AS68" i="6"/>
  <c r="AT68" i="6"/>
  <c r="AV68" i="6"/>
  <c r="AU68" i="6"/>
  <c r="AX68" i="6"/>
  <c r="AW68" i="6"/>
  <c r="AY68" i="6"/>
  <c r="BB68" i="6"/>
  <c r="BA68" i="6"/>
  <c r="AZ68" i="6"/>
  <c r="BE68" i="6"/>
  <c r="BC68" i="6"/>
  <c r="BD68" i="6"/>
  <c r="BG68" i="6"/>
  <c r="BF68" i="6"/>
  <c r="BH68" i="6"/>
  <c r="BK68" i="6"/>
  <c r="BI68" i="6"/>
  <c r="BJ68" i="6"/>
  <c r="BL68" i="6"/>
  <c r="BM68" i="6"/>
  <c r="BN68" i="6"/>
  <c r="W25" i="34"/>
  <c r="H8" i="38"/>
  <c r="H8" i="39"/>
  <c r="H8" i="37"/>
  <c r="H8" i="26"/>
  <c r="H41" i="10"/>
  <c r="H34" i="10"/>
  <c r="H16" i="12"/>
  <c r="H21" i="10"/>
  <c r="X29" i="13"/>
  <c r="X31" i="13" s="1"/>
  <c r="X14" i="13"/>
  <c r="K62" i="6"/>
  <c r="K3" i="27" s="1"/>
  <c r="J62" i="6"/>
  <c r="L62" i="6"/>
  <c r="L3" i="27" s="1"/>
  <c r="M62" i="6"/>
  <c r="M3" i="27" s="1"/>
  <c r="N62" i="6"/>
  <c r="N3" i="27" s="1"/>
  <c r="O62" i="6"/>
  <c r="Q62" i="6"/>
  <c r="P62" i="6"/>
  <c r="R62" i="6"/>
  <c r="T62" i="6"/>
  <c r="S62" i="6"/>
  <c r="V62" i="6"/>
  <c r="U62" i="6"/>
  <c r="Y62" i="6"/>
  <c r="W62" i="6"/>
  <c r="X62" i="6"/>
  <c r="AA62" i="6"/>
  <c r="Z62" i="6"/>
  <c r="AC62" i="6"/>
  <c r="AB62" i="6"/>
  <c r="AE62" i="6"/>
  <c r="AF62" i="6"/>
  <c r="AD62" i="6"/>
  <c r="AH62" i="6"/>
  <c r="AG62" i="6"/>
  <c r="AI62" i="6"/>
  <c r="AJ62" i="6"/>
  <c r="AK62" i="6"/>
  <c r="AL62" i="6"/>
  <c r="AM62" i="6"/>
  <c r="AN62" i="6"/>
  <c r="AO62" i="6"/>
  <c r="AP62" i="6"/>
  <c r="AQ62" i="6"/>
  <c r="AU62" i="6"/>
  <c r="AS62" i="6"/>
  <c r="AR62" i="6"/>
  <c r="AT62" i="6"/>
  <c r="AV62" i="6"/>
  <c r="AW62" i="6"/>
  <c r="AX62" i="6"/>
  <c r="AZ62" i="6"/>
  <c r="AY62" i="6"/>
  <c r="BB62" i="6"/>
  <c r="BA62" i="6"/>
  <c r="BC62" i="6"/>
  <c r="BD62" i="6"/>
  <c r="BG62" i="6"/>
  <c r="BE62" i="6"/>
  <c r="BI62" i="6"/>
  <c r="BF62" i="6"/>
  <c r="BH62" i="6"/>
  <c r="BJ62" i="6"/>
  <c r="BK62" i="6"/>
  <c r="BL62" i="6"/>
  <c r="BM62" i="6"/>
  <c r="BO62" i="6"/>
  <c r="BN62" i="6"/>
  <c r="BQ132" i="6"/>
  <c r="F133" i="6" s="1"/>
  <c r="F137" i="6" s="1"/>
  <c r="H128" i="6"/>
  <c r="H132" i="6" s="1"/>
  <c r="J55" i="6"/>
  <c r="J2" i="27" s="1"/>
  <c r="L55" i="6"/>
  <c r="L2" i="27" s="1"/>
  <c r="K55" i="6"/>
  <c r="K2" i="27" s="1"/>
  <c r="N55" i="6"/>
  <c r="N2" i="27" s="1"/>
  <c r="M55" i="6"/>
  <c r="M2" i="27" s="1"/>
  <c r="O55" i="6"/>
  <c r="S55" i="6"/>
  <c r="Q55" i="6"/>
  <c r="P55" i="6"/>
  <c r="R55" i="6"/>
  <c r="T55" i="6"/>
  <c r="V55" i="6"/>
  <c r="U55" i="6"/>
  <c r="X55" i="6"/>
  <c r="W55" i="6"/>
  <c r="Y55" i="6"/>
  <c r="Z55" i="6"/>
  <c r="AB55" i="6"/>
  <c r="AA55" i="6"/>
  <c r="AD55" i="6"/>
  <c r="AC55" i="6"/>
  <c r="AE55" i="6"/>
  <c r="AF55" i="6"/>
  <c r="AG55" i="6"/>
  <c r="AI55" i="6"/>
  <c r="AH55" i="6"/>
  <c r="AJ55" i="6"/>
  <c r="AK55" i="6"/>
  <c r="AL55" i="6"/>
  <c r="AM55" i="6"/>
  <c r="AN55" i="6"/>
  <c r="AO55" i="6"/>
  <c r="AP55" i="6"/>
  <c r="AQ55" i="6"/>
  <c r="AT55" i="6"/>
  <c r="AR55" i="6"/>
  <c r="AS55" i="6"/>
  <c r="AU55" i="6"/>
  <c r="AV55" i="6"/>
  <c r="AX55" i="6"/>
  <c r="AW55" i="6"/>
  <c r="AZ55" i="6"/>
  <c r="BA55" i="6"/>
  <c r="AY55" i="6"/>
  <c r="BC55" i="6"/>
  <c r="BB55" i="6"/>
  <c r="BD55" i="6"/>
  <c r="BG55" i="6"/>
  <c r="BE55" i="6"/>
  <c r="BF55" i="6"/>
  <c r="BH55" i="6"/>
  <c r="BI55" i="6"/>
  <c r="BJ55" i="6"/>
  <c r="BK55" i="6"/>
  <c r="BL55" i="6"/>
  <c r="BM55" i="6"/>
  <c r="BN55" i="6"/>
  <c r="BQ55" i="6"/>
  <c r="Y11" i="13"/>
  <c r="H224" i="6"/>
  <c r="H203" i="6"/>
  <c r="BQ194" i="6"/>
  <c r="F195" i="6" s="1"/>
  <c r="F199" i="6" s="1"/>
  <c r="H190" i="6"/>
  <c r="H194" i="6" s="1"/>
  <c r="AD29" i="17"/>
  <c r="AD14" i="17"/>
  <c r="H162" i="6"/>
  <c r="H141" i="6"/>
  <c r="BQ270" i="6"/>
  <c r="F271" i="6" s="1"/>
  <c r="H277" i="6"/>
  <c r="H270" i="6" s="1"/>
  <c r="BP55" i="6"/>
  <c r="X19" i="34"/>
  <c r="X12" i="16"/>
  <c r="X26" i="16"/>
  <c r="Z27" i="16" s="1"/>
  <c r="N19" i="35"/>
  <c r="BQ19" i="37"/>
  <c r="J19" i="39"/>
  <c r="AC19" i="38"/>
  <c r="S19" i="39"/>
  <c r="N19" i="26"/>
  <c r="X9" i="19"/>
  <c r="X30" i="15"/>
  <c r="BP62" i="6"/>
  <c r="F256" i="6" l="1"/>
  <c r="F264" i="6"/>
  <c r="F266" i="6" s="1"/>
  <c r="F258" i="6" s="1"/>
  <c r="J204" i="6"/>
  <c r="K204" i="6"/>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X27" i="18"/>
  <c r="X28" i="18" s="1"/>
  <c r="X40" i="18"/>
  <c r="X41" i="18" s="1"/>
  <c r="J3" i="27"/>
  <c r="H62" i="6"/>
  <c r="Z14" i="16"/>
  <c r="Z28" i="16"/>
  <c r="Y10" i="37"/>
  <c r="Y24" i="12"/>
  <c r="Y26" i="12" s="1"/>
  <c r="Y31" i="12" s="1"/>
  <c r="Y33" i="12" s="1"/>
  <c r="Z20" i="10"/>
  <c r="Y16" i="19"/>
  <c r="Y17" i="19" s="1"/>
  <c r="Y42" i="15"/>
  <c r="Y20" i="15"/>
  <c r="Y25" i="11"/>
  <c r="X33" i="17"/>
  <c r="X42" i="17"/>
  <c r="X46" i="17"/>
  <c r="X47" i="17" s="1"/>
  <c r="X13" i="28"/>
  <c r="N13" i="29"/>
  <c r="Y16" i="37"/>
  <c r="Y63" i="12"/>
  <c r="Y65" i="12" s="1"/>
  <c r="Y71" i="12"/>
  <c r="Y73" i="12" s="1"/>
  <c r="AD18" i="34"/>
  <c r="P18" i="35"/>
  <c r="X32" i="13"/>
  <c r="Y28" i="13"/>
  <c r="X39" i="16"/>
  <c r="X40" i="16" s="1"/>
  <c r="BQ49" i="15"/>
  <c r="BQ34" i="15"/>
  <c r="BQ27" i="14"/>
  <c r="BQ12" i="14"/>
  <c r="H26" i="14"/>
  <c r="BO163" i="6" l="1"/>
  <c r="BO155" i="6"/>
  <c r="BO148" i="6"/>
  <c r="BO149" i="6" s="1"/>
  <c r="BO154" i="6" s="1"/>
  <c r="BG148" i="6"/>
  <c r="BG149" i="6" s="1"/>
  <c r="BG154" i="6" s="1"/>
  <c r="BG163" i="6"/>
  <c r="BG155" i="6"/>
  <c r="BG156" i="6" s="1"/>
  <c r="BG161" i="6" s="1"/>
  <c r="AY148" i="6"/>
  <c r="AY149" i="6" s="1"/>
  <c r="AY154" i="6" s="1"/>
  <c r="AY163" i="6"/>
  <c r="AY155" i="6"/>
  <c r="AQ163" i="6"/>
  <c r="AQ148" i="6"/>
  <c r="AQ149" i="6" s="1"/>
  <c r="AQ154" i="6" s="1"/>
  <c r="AQ155" i="6"/>
  <c r="AQ156" i="6" s="1"/>
  <c r="AQ161" i="6" s="1"/>
  <c r="AI155" i="6"/>
  <c r="AI148" i="6"/>
  <c r="AI149" i="6" s="1"/>
  <c r="AI154" i="6" s="1"/>
  <c r="AI163" i="6"/>
  <c r="AA155" i="6"/>
  <c r="AA163" i="6"/>
  <c r="AA148" i="6"/>
  <c r="AA149" i="6" s="1"/>
  <c r="AA154" i="6" s="1"/>
  <c r="S155" i="6"/>
  <c r="S148" i="6"/>
  <c r="S149" i="6" s="1"/>
  <c r="S154" i="6" s="1"/>
  <c r="S163" i="6"/>
  <c r="K155" i="6"/>
  <c r="K148" i="6"/>
  <c r="K149" i="6" s="1"/>
  <c r="K154" i="6" s="1"/>
  <c r="K163" i="6"/>
  <c r="BK225" i="6"/>
  <c r="BK210" i="6"/>
  <c r="BK211" i="6" s="1"/>
  <c r="BK216" i="6" s="1"/>
  <c r="BK217" i="6"/>
  <c r="BC225" i="6"/>
  <c r="BC210" i="6"/>
  <c r="BC211" i="6" s="1"/>
  <c r="BC216" i="6" s="1"/>
  <c r="BC217" i="6"/>
  <c r="BC218" i="6" s="1"/>
  <c r="BC223" i="6" s="1"/>
  <c r="AU225" i="6"/>
  <c r="AU210" i="6"/>
  <c r="AU211" i="6" s="1"/>
  <c r="AU216" i="6" s="1"/>
  <c r="AU217" i="6"/>
  <c r="AM225" i="6"/>
  <c r="AM210" i="6"/>
  <c r="AM211" i="6" s="1"/>
  <c r="AM216" i="6" s="1"/>
  <c r="AM217" i="6"/>
  <c r="AM218" i="6" s="1"/>
  <c r="AM223" i="6" s="1"/>
  <c r="AE225" i="6"/>
  <c r="AE210" i="6"/>
  <c r="AE211" i="6" s="1"/>
  <c r="AE216" i="6" s="1"/>
  <c r="AE217" i="6"/>
  <c r="W225" i="6"/>
  <c r="W210" i="6"/>
  <c r="W211" i="6" s="1"/>
  <c r="W216" i="6" s="1"/>
  <c r="W217" i="6"/>
  <c r="W218" i="6" s="1"/>
  <c r="W223" i="6" s="1"/>
  <c r="O225" i="6"/>
  <c r="O210" i="6"/>
  <c r="O211" i="6" s="1"/>
  <c r="O216" i="6" s="1"/>
  <c r="O217" i="6"/>
  <c r="X41" i="16"/>
  <c r="X32" i="16"/>
  <c r="X45" i="16"/>
  <c r="X46" i="16" s="1"/>
  <c r="BN155" i="6"/>
  <c r="BN163" i="6"/>
  <c r="BN148" i="6"/>
  <c r="BN149" i="6" s="1"/>
  <c r="BN154" i="6" s="1"/>
  <c r="BF155" i="6"/>
  <c r="BF156" i="6" s="1"/>
  <c r="BF161" i="6" s="1"/>
  <c r="BF148" i="6"/>
  <c r="BF149" i="6" s="1"/>
  <c r="BF154" i="6" s="1"/>
  <c r="BF163" i="6"/>
  <c r="AX155" i="6"/>
  <c r="AX148" i="6"/>
  <c r="AX149" i="6" s="1"/>
  <c r="AX154" i="6" s="1"/>
  <c r="AX163" i="6"/>
  <c r="AP155" i="6"/>
  <c r="AP163" i="6"/>
  <c r="AP148" i="6"/>
  <c r="AP149" i="6" s="1"/>
  <c r="AP154" i="6" s="1"/>
  <c r="AH155" i="6"/>
  <c r="AH148" i="6"/>
  <c r="AH149" i="6" s="1"/>
  <c r="AH154" i="6" s="1"/>
  <c r="AH163" i="6"/>
  <c r="Z155" i="6"/>
  <c r="Z163" i="6"/>
  <c r="Z148" i="6"/>
  <c r="Z149" i="6" s="1"/>
  <c r="Z154" i="6" s="1"/>
  <c r="R163" i="6"/>
  <c r="R155" i="6"/>
  <c r="R156" i="6" s="1"/>
  <c r="R161" i="6" s="1"/>
  <c r="R148" i="6"/>
  <c r="R149" i="6" s="1"/>
  <c r="R154" i="6" s="1"/>
  <c r="H142" i="6"/>
  <c r="J155" i="6"/>
  <c r="J148" i="6"/>
  <c r="J149" i="6" s="1"/>
  <c r="J154" i="6" s="1"/>
  <c r="J163" i="6"/>
  <c r="BJ225" i="6"/>
  <c r="BJ210" i="6"/>
  <c r="BJ211" i="6" s="1"/>
  <c r="BJ216" i="6" s="1"/>
  <c r="BJ217" i="6"/>
  <c r="BJ218" i="6" s="1"/>
  <c r="BJ223" i="6" s="1"/>
  <c r="BB225" i="6"/>
  <c r="BB210" i="6"/>
  <c r="BB211" i="6" s="1"/>
  <c r="BB216" i="6" s="1"/>
  <c r="BB217" i="6"/>
  <c r="AT225" i="6"/>
  <c r="AT210" i="6"/>
  <c r="AT211" i="6" s="1"/>
  <c r="AT216" i="6" s="1"/>
  <c r="AT217" i="6"/>
  <c r="AT218" i="6" s="1"/>
  <c r="AT223" i="6" s="1"/>
  <c r="AL225" i="6"/>
  <c r="AL210" i="6"/>
  <c r="AL211" i="6" s="1"/>
  <c r="AL216" i="6" s="1"/>
  <c r="AL217" i="6"/>
  <c r="AD225" i="6"/>
  <c r="AD210" i="6"/>
  <c r="AD211" i="6" s="1"/>
  <c r="AD216" i="6" s="1"/>
  <c r="AD217" i="6"/>
  <c r="AD218" i="6" s="1"/>
  <c r="AD223" i="6" s="1"/>
  <c r="V225" i="6"/>
  <c r="V210" i="6"/>
  <c r="V211" i="6" s="1"/>
  <c r="V216" i="6" s="1"/>
  <c r="V217" i="6"/>
  <c r="N225" i="6"/>
  <c r="N210" i="6"/>
  <c r="N211" i="6" s="1"/>
  <c r="N216" i="6" s="1"/>
  <c r="N217" i="6"/>
  <c r="N218" i="6" s="1"/>
  <c r="N223" i="6" s="1"/>
  <c r="BM155" i="6"/>
  <c r="BM163" i="6"/>
  <c r="BM148" i="6"/>
  <c r="BM149" i="6" s="1"/>
  <c r="BM154" i="6" s="1"/>
  <c r="BE155" i="6"/>
  <c r="BE163" i="6"/>
  <c r="BE148" i="6"/>
  <c r="BE149" i="6" s="1"/>
  <c r="BE154" i="6" s="1"/>
  <c r="AW155" i="6"/>
  <c r="AW148" i="6"/>
  <c r="AW149" i="6" s="1"/>
  <c r="AW154" i="6" s="1"/>
  <c r="AW163" i="6"/>
  <c r="AO163" i="6"/>
  <c r="AO155" i="6"/>
  <c r="AO148" i="6"/>
  <c r="AO149" i="6" s="1"/>
  <c r="AO154" i="6" s="1"/>
  <c r="AG155" i="6"/>
  <c r="AG148" i="6"/>
  <c r="AG149" i="6" s="1"/>
  <c r="AG154" i="6" s="1"/>
  <c r="AG163" i="6"/>
  <c r="Y155" i="6"/>
  <c r="Y156" i="6" s="1"/>
  <c r="Y161" i="6" s="1"/>
  <c r="Y163" i="6"/>
  <c r="Y148" i="6"/>
  <c r="Y149" i="6" s="1"/>
  <c r="Y154" i="6" s="1"/>
  <c r="Q163" i="6"/>
  <c r="Q155" i="6"/>
  <c r="Q156" i="6" s="1"/>
  <c r="Q161" i="6" s="1"/>
  <c r="Q148" i="6"/>
  <c r="Q149" i="6" s="1"/>
  <c r="Q154" i="6" s="1"/>
  <c r="BQ225" i="6"/>
  <c r="BQ217" i="6"/>
  <c r="BQ210" i="6"/>
  <c r="BQ211" i="6" s="1"/>
  <c r="BQ216" i="6" s="1"/>
  <c r="BI225" i="6"/>
  <c r="BI217" i="6"/>
  <c r="BI210" i="6"/>
  <c r="BI211" i="6" s="1"/>
  <c r="BI216" i="6" s="1"/>
  <c r="BA225" i="6"/>
  <c r="BA217" i="6"/>
  <c r="BA210" i="6"/>
  <c r="BA211" i="6" s="1"/>
  <c r="BA216" i="6" s="1"/>
  <c r="AS225" i="6"/>
  <c r="AS217" i="6"/>
  <c r="AS218" i="6" s="1"/>
  <c r="AS223" i="6" s="1"/>
  <c r="AS210" i="6"/>
  <c r="AS211" i="6" s="1"/>
  <c r="AS216" i="6" s="1"/>
  <c r="AK225" i="6"/>
  <c r="AK217" i="6"/>
  <c r="AK210" i="6"/>
  <c r="AK211" i="6" s="1"/>
  <c r="AK216" i="6" s="1"/>
  <c r="AC225" i="6"/>
  <c r="AC217" i="6"/>
  <c r="AC218" i="6" s="1"/>
  <c r="AC223" i="6" s="1"/>
  <c r="AC210" i="6"/>
  <c r="AC211" i="6" s="1"/>
  <c r="AC216" i="6" s="1"/>
  <c r="U225" i="6"/>
  <c r="U217" i="6"/>
  <c r="U210" i="6"/>
  <c r="U211" i="6" s="1"/>
  <c r="U216" i="6" s="1"/>
  <c r="M225" i="6"/>
  <c r="M217" i="6"/>
  <c r="M218" i="6" s="1"/>
  <c r="M223" i="6" s="1"/>
  <c r="M210" i="6"/>
  <c r="M211" i="6" s="1"/>
  <c r="M216" i="6" s="1"/>
  <c r="BD155" i="6"/>
  <c r="BD156" i="6" s="1"/>
  <c r="BD161" i="6" s="1"/>
  <c r="BD163" i="6"/>
  <c r="BD148" i="6"/>
  <c r="BD149" i="6" s="1"/>
  <c r="BD154" i="6" s="1"/>
  <c r="AV148" i="6"/>
  <c r="AV149" i="6" s="1"/>
  <c r="AV154" i="6" s="1"/>
  <c r="AV163" i="6"/>
  <c r="AV155" i="6"/>
  <c r="AN163" i="6"/>
  <c r="AN155" i="6"/>
  <c r="AN148" i="6"/>
  <c r="AN149" i="6" s="1"/>
  <c r="AN154" i="6" s="1"/>
  <c r="AF163" i="6"/>
  <c r="AF155" i="6"/>
  <c r="AF156" i="6" s="1"/>
  <c r="AF161" i="6" s="1"/>
  <c r="AF148" i="6"/>
  <c r="AF149" i="6" s="1"/>
  <c r="AF154" i="6" s="1"/>
  <c r="X155" i="6"/>
  <c r="X163" i="6"/>
  <c r="X148" i="6"/>
  <c r="X149" i="6" s="1"/>
  <c r="X154" i="6" s="1"/>
  <c r="P163" i="6"/>
  <c r="P155" i="6"/>
  <c r="P156" i="6" s="1"/>
  <c r="P161" i="6" s="1"/>
  <c r="P148" i="6"/>
  <c r="P149" i="6" s="1"/>
  <c r="P154" i="6" s="1"/>
  <c r="BP225" i="6"/>
  <c r="BP210" i="6"/>
  <c r="BP211" i="6" s="1"/>
  <c r="BP216" i="6" s="1"/>
  <c r="BP217" i="6"/>
  <c r="BP218" i="6" s="1"/>
  <c r="BP223" i="6" s="1"/>
  <c r="BH225" i="6"/>
  <c r="BH210" i="6"/>
  <c r="BH211" i="6" s="1"/>
  <c r="BH216" i="6" s="1"/>
  <c r="BH217" i="6"/>
  <c r="AZ225" i="6"/>
  <c r="AZ226" i="6" s="1"/>
  <c r="AZ18" i="14" s="1"/>
  <c r="AZ19" i="14" s="1"/>
  <c r="AZ210" i="6"/>
  <c r="AZ211" i="6" s="1"/>
  <c r="AZ216" i="6" s="1"/>
  <c r="AZ217" i="6"/>
  <c r="AZ218" i="6" s="1"/>
  <c r="AZ223" i="6" s="1"/>
  <c r="AR225" i="6"/>
  <c r="AR210" i="6"/>
  <c r="AR211" i="6" s="1"/>
  <c r="AR216" i="6" s="1"/>
  <c r="AR217" i="6"/>
  <c r="AJ225" i="6"/>
  <c r="AJ210" i="6"/>
  <c r="AJ211" i="6" s="1"/>
  <c r="AJ216" i="6" s="1"/>
  <c r="AJ217" i="6"/>
  <c r="AJ218" i="6" s="1"/>
  <c r="AJ223" i="6" s="1"/>
  <c r="AB225" i="6"/>
  <c r="AB210" i="6"/>
  <c r="AB211" i="6" s="1"/>
  <c r="AB216" i="6" s="1"/>
  <c r="AB217" i="6"/>
  <c r="T225" i="6"/>
  <c r="T210" i="6"/>
  <c r="T211" i="6" s="1"/>
  <c r="T216" i="6" s="1"/>
  <c r="T217" i="6"/>
  <c r="T218" i="6" s="1"/>
  <c r="T223" i="6" s="1"/>
  <c r="L225" i="6"/>
  <c r="L210" i="6"/>
  <c r="L211" i="6" s="1"/>
  <c r="L216" i="6" s="1"/>
  <c r="L217" i="6"/>
  <c r="Y45" i="15"/>
  <c r="Y21" i="19"/>
  <c r="Y43" i="15"/>
  <c r="Y21" i="15"/>
  <c r="Y17" i="37"/>
  <c r="Z70" i="12"/>
  <c r="Y17" i="11"/>
  <c r="Y18" i="11" s="1"/>
  <c r="Y11" i="37"/>
  <c r="Y20" i="17"/>
  <c r="Y22" i="17" s="1"/>
  <c r="Y21" i="13"/>
  <c r="Y23" i="13" s="1"/>
  <c r="Y39" i="12"/>
  <c r="AE41" i="12" s="1"/>
  <c r="Y48" i="12"/>
  <c r="Y50" i="12" s="1"/>
  <c r="Y13" i="15"/>
  <c r="Y14" i="15" s="1"/>
  <c r="Y17" i="9"/>
  <c r="Y18" i="9" s="1"/>
  <c r="X33" i="18"/>
  <c r="X46" i="18"/>
  <c r="X47" i="18" s="1"/>
  <c r="X42" i="18"/>
  <c r="BK163" i="6"/>
  <c r="BK155" i="6"/>
  <c r="BK148" i="6"/>
  <c r="BK149" i="6" s="1"/>
  <c r="BK154" i="6" s="1"/>
  <c r="BC163" i="6"/>
  <c r="BC155" i="6"/>
  <c r="BC148" i="6"/>
  <c r="BC149" i="6" s="1"/>
  <c r="BC154" i="6" s="1"/>
  <c r="AU163" i="6"/>
  <c r="AU148" i="6"/>
  <c r="AU149" i="6" s="1"/>
  <c r="AU154" i="6" s="1"/>
  <c r="AU155" i="6"/>
  <c r="AM163" i="6"/>
  <c r="AM155" i="6"/>
  <c r="AM148" i="6"/>
  <c r="AM149" i="6" s="1"/>
  <c r="AM154" i="6" s="1"/>
  <c r="AE163" i="6"/>
  <c r="AE155" i="6"/>
  <c r="AE148" i="6"/>
  <c r="AE149" i="6" s="1"/>
  <c r="AE154" i="6" s="1"/>
  <c r="W163" i="6"/>
  <c r="W155" i="6"/>
  <c r="W148" i="6"/>
  <c r="W149" i="6" s="1"/>
  <c r="W154" i="6" s="1"/>
  <c r="O163" i="6"/>
  <c r="O155" i="6"/>
  <c r="O148" i="6"/>
  <c r="O149" i="6" s="1"/>
  <c r="O154" i="6" s="1"/>
  <c r="BO210" i="6"/>
  <c r="BO211" i="6" s="1"/>
  <c r="BO216" i="6" s="1"/>
  <c r="BO225" i="6"/>
  <c r="BO217" i="6"/>
  <c r="BG210" i="6"/>
  <c r="BG211" i="6" s="1"/>
  <c r="BG216" i="6" s="1"/>
  <c r="BG225" i="6"/>
  <c r="BG217" i="6"/>
  <c r="AY210" i="6"/>
  <c r="AY211" i="6" s="1"/>
  <c r="AY216" i="6" s="1"/>
  <c r="AY225" i="6"/>
  <c r="AY217" i="6"/>
  <c r="AQ210" i="6"/>
  <c r="AQ211" i="6" s="1"/>
  <c r="AQ216" i="6" s="1"/>
  <c r="AQ225" i="6"/>
  <c r="AQ217" i="6"/>
  <c r="AQ218" i="6" s="1"/>
  <c r="AQ223" i="6" s="1"/>
  <c r="AI210" i="6"/>
  <c r="AI211" i="6" s="1"/>
  <c r="AI216" i="6" s="1"/>
  <c r="AI225" i="6"/>
  <c r="AI217" i="6"/>
  <c r="AI218" i="6" s="1"/>
  <c r="AI223" i="6" s="1"/>
  <c r="AA210" i="6"/>
  <c r="AA211" i="6" s="1"/>
  <c r="AA216" i="6" s="1"/>
  <c r="AA225" i="6"/>
  <c r="AA217" i="6"/>
  <c r="S210" i="6"/>
  <c r="S211" i="6" s="1"/>
  <c r="S216" i="6" s="1"/>
  <c r="S225" i="6"/>
  <c r="S217" i="6"/>
  <c r="K210" i="6"/>
  <c r="K211" i="6" s="1"/>
  <c r="K216" i="6" s="1"/>
  <c r="K225" i="6"/>
  <c r="K217" i="6"/>
  <c r="H49" i="15"/>
  <c r="H34" i="15"/>
  <c r="H12" i="14"/>
  <c r="X34" i="17"/>
  <c r="X48" i="17"/>
  <c r="Z28" i="10"/>
  <c r="Y15" i="37"/>
  <c r="Z60" i="12"/>
  <c r="X35" i="17"/>
  <c r="X13" i="17" s="1"/>
  <c r="X15" i="17" s="1"/>
  <c r="X29" i="18"/>
  <c r="X14" i="18"/>
  <c r="BJ163" i="6"/>
  <c r="BJ155" i="6"/>
  <c r="BJ148" i="6"/>
  <c r="BJ149" i="6" s="1"/>
  <c r="BJ154" i="6" s="1"/>
  <c r="BB163" i="6"/>
  <c r="BB155" i="6"/>
  <c r="BB148" i="6"/>
  <c r="BB149" i="6" s="1"/>
  <c r="BB154" i="6" s="1"/>
  <c r="AT163" i="6"/>
  <c r="AT155" i="6"/>
  <c r="AT148" i="6"/>
  <c r="AT149" i="6" s="1"/>
  <c r="AT154" i="6" s="1"/>
  <c r="AL163" i="6"/>
  <c r="AL155" i="6"/>
  <c r="AL148" i="6"/>
  <c r="AL149" i="6" s="1"/>
  <c r="AL154" i="6" s="1"/>
  <c r="AD163" i="6"/>
  <c r="AD155" i="6"/>
  <c r="AD148" i="6"/>
  <c r="AD149" i="6" s="1"/>
  <c r="AD154" i="6" s="1"/>
  <c r="V163" i="6"/>
  <c r="V155" i="6"/>
  <c r="V148" i="6"/>
  <c r="V149" i="6" s="1"/>
  <c r="V154" i="6" s="1"/>
  <c r="N163" i="6"/>
  <c r="N155" i="6"/>
  <c r="N148" i="6"/>
  <c r="N149" i="6" s="1"/>
  <c r="N154" i="6" s="1"/>
  <c r="BN217" i="6"/>
  <c r="BN210" i="6"/>
  <c r="BN211" i="6" s="1"/>
  <c r="BN216" i="6" s="1"/>
  <c r="BN225" i="6"/>
  <c r="BF217" i="6"/>
  <c r="BF210" i="6"/>
  <c r="BF211" i="6" s="1"/>
  <c r="BF216" i="6" s="1"/>
  <c r="BF225" i="6"/>
  <c r="AX217" i="6"/>
  <c r="AX210" i="6"/>
  <c r="AX211" i="6" s="1"/>
  <c r="AX216" i="6" s="1"/>
  <c r="AX225" i="6"/>
  <c r="AP217" i="6"/>
  <c r="AP210" i="6"/>
  <c r="AP211" i="6" s="1"/>
  <c r="AP216" i="6" s="1"/>
  <c r="AP225" i="6"/>
  <c r="AH217" i="6"/>
  <c r="AH210" i="6"/>
  <c r="AH211" i="6" s="1"/>
  <c r="AH216" i="6" s="1"/>
  <c r="AH225" i="6"/>
  <c r="Z217" i="6"/>
  <c r="Z210" i="6"/>
  <c r="Z211" i="6" s="1"/>
  <c r="Z216" i="6" s="1"/>
  <c r="Z225" i="6"/>
  <c r="R217" i="6"/>
  <c r="R210" i="6"/>
  <c r="R211" i="6" s="1"/>
  <c r="R216" i="6" s="1"/>
  <c r="R225" i="6"/>
  <c r="J217" i="6"/>
  <c r="J210" i="6"/>
  <c r="J211" i="6" s="1"/>
  <c r="J216" i="6" s="1"/>
  <c r="J225" i="6"/>
  <c r="H204" i="6"/>
  <c r="X9" i="31"/>
  <c r="N9" i="32"/>
  <c r="BL155" i="6"/>
  <c r="BL156" i="6" s="1"/>
  <c r="BL161" i="6" s="1"/>
  <c r="BL163" i="6"/>
  <c r="BL148" i="6"/>
  <c r="BL149" i="6" s="1"/>
  <c r="BL154" i="6" s="1"/>
  <c r="BQ9" i="28"/>
  <c r="K9" i="30"/>
  <c r="L9" i="29"/>
  <c r="J9" i="23"/>
  <c r="H27" i="14"/>
  <c r="N9" i="23"/>
  <c r="S9" i="30"/>
  <c r="AC9" i="29"/>
  <c r="Z20" i="34"/>
  <c r="BQ163" i="6"/>
  <c r="BQ148" i="6"/>
  <c r="BQ149" i="6" s="1"/>
  <c r="BQ154" i="6" s="1"/>
  <c r="BQ155" i="6"/>
  <c r="BI163" i="6"/>
  <c r="BI164" i="6" s="1"/>
  <c r="BI148" i="6"/>
  <c r="BI149" i="6" s="1"/>
  <c r="BI154" i="6" s="1"/>
  <c r="BI155" i="6"/>
  <c r="BI156" i="6" s="1"/>
  <c r="BI161" i="6" s="1"/>
  <c r="BA163" i="6"/>
  <c r="BA148" i="6"/>
  <c r="BA149" i="6" s="1"/>
  <c r="BA154" i="6" s="1"/>
  <c r="BA155" i="6"/>
  <c r="AS163" i="6"/>
  <c r="AS164" i="6" s="1"/>
  <c r="AS148" i="6"/>
  <c r="AS149" i="6" s="1"/>
  <c r="AS154" i="6" s="1"/>
  <c r="AS155" i="6"/>
  <c r="AS156" i="6" s="1"/>
  <c r="AS161" i="6" s="1"/>
  <c r="AK163" i="6"/>
  <c r="AK155" i="6"/>
  <c r="AK156" i="6" s="1"/>
  <c r="AK161" i="6" s="1"/>
  <c r="AK148" i="6"/>
  <c r="AK149" i="6" s="1"/>
  <c r="AK154" i="6" s="1"/>
  <c r="AC163" i="6"/>
  <c r="AC148" i="6"/>
  <c r="AC149" i="6" s="1"/>
  <c r="AC154" i="6" s="1"/>
  <c r="AC155" i="6"/>
  <c r="AC156" i="6" s="1"/>
  <c r="AC161" i="6" s="1"/>
  <c r="U163" i="6"/>
  <c r="U148" i="6"/>
  <c r="U149" i="6" s="1"/>
  <c r="U154" i="6" s="1"/>
  <c r="U155" i="6"/>
  <c r="M163" i="6"/>
  <c r="M148" i="6"/>
  <c r="M149" i="6" s="1"/>
  <c r="M154" i="6" s="1"/>
  <c r="M155" i="6"/>
  <c r="M156" i="6" s="1"/>
  <c r="M161" i="6" s="1"/>
  <c r="BM217" i="6"/>
  <c r="BM210" i="6"/>
  <c r="BM211" i="6" s="1"/>
  <c r="BM216" i="6" s="1"/>
  <c r="BM225" i="6"/>
  <c r="BE217" i="6"/>
  <c r="BE218" i="6" s="1"/>
  <c r="BE223" i="6" s="1"/>
  <c r="BE210" i="6"/>
  <c r="BE211" i="6" s="1"/>
  <c r="BE216" i="6" s="1"/>
  <c r="BE225" i="6"/>
  <c r="AW217" i="6"/>
  <c r="AW210" i="6"/>
  <c r="AW211" i="6" s="1"/>
  <c r="AW216" i="6" s="1"/>
  <c r="AW225" i="6"/>
  <c r="AO217" i="6"/>
  <c r="AO218" i="6" s="1"/>
  <c r="AO223" i="6" s="1"/>
  <c r="AO210" i="6"/>
  <c r="AO211" i="6" s="1"/>
  <c r="AO216" i="6" s="1"/>
  <c r="AO225" i="6"/>
  <c r="AG217" i="6"/>
  <c r="AG210" i="6"/>
  <c r="AG211" i="6" s="1"/>
  <c r="AG216" i="6" s="1"/>
  <c r="AG225" i="6"/>
  <c r="Y217" i="6"/>
  <c r="Y218" i="6" s="1"/>
  <c r="Y223" i="6" s="1"/>
  <c r="Y210" i="6"/>
  <c r="Y211" i="6" s="1"/>
  <c r="Y216" i="6" s="1"/>
  <c r="Y225" i="6"/>
  <c r="Y226" i="6" s="1"/>
  <c r="Y18" i="14" s="1"/>
  <c r="Y19" i="14" s="1"/>
  <c r="Q217" i="6"/>
  <c r="Q210" i="6"/>
  <c r="Q211" i="6" s="1"/>
  <c r="Q216" i="6" s="1"/>
  <c r="Q225" i="6"/>
  <c r="X16" i="28"/>
  <c r="N16" i="29"/>
  <c r="AA22" i="15"/>
  <c r="BP163" i="6"/>
  <c r="BP155" i="6"/>
  <c r="BP156" i="6" s="1"/>
  <c r="BP161" i="6" s="1"/>
  <c r="BP148" i="6"/>
  <c r="BP149" i="6" s="1"/>
  <c r="BP154" i="6" s="1"/>
  <c r="BH148" i="6"/>
  <c r="BH149" i="6" s="1"/>
  <c r="BH154" i="6" s="1"/>
  <c r="BH163" i="6"/>
  <c r="BH155" i="6"/>
  <c r="AZ148" i="6"/>
  <c r="AZ149" i="6" s="1"/>
  <c r="AZ154" i="6" s="1"/>
  <c r="AZ163" i="6"/>
  <c r="AZ155" i="6"/>
  <c r="AR148" i="6"/>
  <c r="AR149" i="6" s="1"/>
  <c r="AR154" i="6" s="1"/>
  <c r="AR155" i="6"/>
  <c r="AR163" i="6"/>
  <c r="AJ155" i="6"/>
  <c r="AJ148" i="6"/>
  <c r="AJ149" i="6" s="1"/>
  <c r="AJ154" i="6" s="1"/>
  <c r="AJ163" i="6"/>
  <c r="AB155" i="6"/>
  <c r="AB163" i="6"/>
  <c r="AB148" i="6"/>
  <c r="AB149" i="6" s="1"/>
  <c r="AB154" i="6" s="1"/>
  <c r="T155" i="6"/>
  <c r="T148" i="6"/>
  <c r="T149" i="6" s="1"/>
  <c r="T154" i="6" s="1"/>
  <c r="T163" i="6"/>
  <c r="L155" i="6"/>
  <c r="L156" i="6" s="1"/>
  <c r="L161" i="6" s="1"/>
  <c r="L148" i="6"/>
  <c r="L149" i="6" s="1"/>
  <c r="L154" i="6" s="1"/>
  <c r="L163" i="6"/>
  <c r="L164" i="6" s="1"/>
  <c r="BL225" i="6"/>
  <c r="BL217" i="6"/>
  <c r="BL218" i="6" s="1"/>
  <c r="BL223" i="6" s="1"/>
  <c r="BL210" i="6"/>
  <c r="BL211" i="6" s="1"/>
  <c r="BL216" i="6" s="1"/>
  <c r="BD225" i="6"/>
  <c r="BD217" i="6"/>
  <c r="BD210" i="6"/>
  <c r="BD211" i="6" s="1"/>
  <c r="BD216" i="6" s="1"/>
  <c r="AV225" i="6"/>
  <c r="AV217" i="6"/>
  <c r="AV218" i="6" s="1"/>
  <c r="AV223" i="6" s="1"/>
  <c r="AV210" i="6"/>
  <c r="AV211" i="6" s="1"/>
  <c r="AV216" i="6" s="1"/>
  <c r="AN225" i="6"/>
  <c r="AN217" i="6"/>
  <c r="AN210" i="6"/>
  <c r="AN211" i="6" s="1"/>
  <c r="AN216" i="6" s="1"/>
  <c r="AF225" i="6"/>
  <c r="AF217" i="6"/>
  <c r="AF218" i="6" s="1"/>
  <c r="AF223" i="6" s="1"/>
  <c r="AF210" i="6"/>
  <c r="AF211" i="6" s="1"/>
  <c r="AF216" i="6" s="1"/>
  <c r="X225" i="6"/>
  <c r="X217" i="6"/>
  <c r="X210" i="6"/>
  <c r="X211" i="6" s="1"/>
  <c r="X216" i="6" s="1"/>
  <c r="P225" i="6"/>
  <c r="P217" i="6"/>
  <c r="P218" i="6" s="1"/>
  <c r="P223" i="6" s="1"/>
  <c r="P210" i="6"/>
  <c r="P211" i="6" s="1"/>
  <c r="P216" i="6" s="1"/>
  <c r="J260" i="6"/>
  <c r="K260" i="6"/>
  <c r="K50" i="19" s="1"/>
  <c r="L260" i="6"/>
  <c r="L50" i="19" s="1"/>
  <c r="M260" i="6"/>
  <c r="M50" i="19" s="1"/>
  <c r="N260" i="6"/>
  <c r="N50" i="19" s="1"/>
  <c r="O260" i="6"/>
  <c r="O50" i="19" s="1"/>
  <c r="P260" i="6"/>
  <c r="P50" i="19" s="1"/>
  <c r="Q260" i="6"/>
  <c r="Q50" i="19" s="1"/>
  <c r="R260" i="6"/>
  <c r="R50" i="19" s="1"/>
  <c r="S260" i="6"/>
  <c r="S50" i="19" s="1"/>
  <c r="T260" i="6"/>
  <c r="T50" i="19" s="1"/>
  <c r="U260" i="6"/>
  <c r="U50" i="19" s="1"/>
  <c r="V260" i="6"/>
  <c r="V50" i="19" s="1"/>
  <c r="W260" i="6"/>
  <c r="W50" i="19" s="1"/>
  <c r="X260" i="6"/>
  <c r="X50" i="19" s="1"/>
  <c r="Y260" i="6"/>
  <c r="Y50" i="19" s="1"/>
  <c r="Z260" i="6"/>
  <c r="Z50" i="19" s="1"/>
  <c r="AA260" i="6"/>
  <c r="AA50" i="19" s="1"/>
  <c r="AB260" i="6"/>
  <c r="AB50" i="19" s="1"/>
  <c r="AC260" i="6"/>
  <c r="AC50" i="19" s="1"/>
  <c r="AD260" i="6"/>
  <c r="AD50" i="19" s="1"/>
  <c r="AE260" i="6"/>
  <c r="AE50" i="19" s="1"/>
  <c r="AF260" i="6"/>
  <c r="AF50" i="19" s="1"/>
  <c r="AG260" i="6"/>
  <c r="AG50" i="19" s="1"/>
  <c r="AH260" i="6"/>
  <c r="AH50" i="19" s="1"/>
  <c r="AI260" i="6"/>
  <c r="AI50" i="19" s="1"/>
  <c r="AJ260" i="6"/>
  <c r="AJ50" i="19" s="1"/>
  <c r="AK260" i="6"/>
  <c r="AK50" i="19" s="1"/>
  <c r="AL260" i="6"/>
  <c r="AL50" i="19" s="1"/>
  <c r="AM260" i="6"/>
  <c r="AM50" i="19" s="1"/>
  <c r="AN260" i="6"/>
  <c r="AN50" i="19" s="1"/>
  <c r="AO260" i="6"/>
  <c r="AO50" i="19" s="1"/>
  <c r="AP260" i="6"/>
  <c r="AP50" i="19" s="1"/>
  <c r="AQ260" i="6"/>
  <c r="AQ50" i="19" s="1"/>
  <c r="AR260" i="6"/>
  <c r="AR50" i="19" s="1"/>
  <c r="AS260" i="6"/>
  <c r="AS50" i="19" s="1"/>
  <c r="AT260" i="6"/>
  <c r="AT50" i="19" s="1"/>
  <c r="AU260" i="6"/>
  <c r="AU50" i="19" s="1"/>
  <c r="AV260" i="6"/>
  <c r="AV50" i="19" s="1"/>
  <c r="AW260" i="6"/>
  <c r="AW50" i="19" s="1"/>
  <c r="AX260" i="6"/>
  <c r="AX50" i="19" s="1"/>
  <c r="AY260" i="6"/>
  <c r="AY50" i="19" s="1"/>
  <c r="AZ260" i="6"/>
  <c r="AZ50" i="19" s="1"/>
  <c r="BA260" i="6"/>
  <c r="BA50" i="19" s="1"/>
  <c r="BB260" i="6"/>
  <c r="BB50" i="19" s="1"/>
  <c r="BC260" i="6"/>
  <c r="BC50" i="19" s="1"/>
  <c r="BD260" i="6"/>
  <c r="BD50" i="19" s="1"/>
  <c r="BE260" i="6"/>
  <c r="BE50" i="19" s="1"/>
  <c r="BF260" i="6"/>
  <c r="BF50" i="19" s="1"/>
  <c r="BG260" i="6"/>
  <c r="BG50" i="19" s="1"/>
  <c r="BH260" i="6"/>
  <c r="BH50" i="19" s="1"/>
  <c r="BI260" i="6"/>
  <c r="BI50" i="19" s="1"/>
  <c r="BJ260" i="6"/>
  <c r="BJ50" i="19" s="1"/>
  <c r="BK260" i="6"/>
  <c r="BK50" i="19" s="1"/>
  <c r="BL260" i="6"/>
  <c r="BL50" i="19" s="1"/>
  <c r="BM260" i="6"/>
  <c r="BM50" i="19" s="1"/>
  <c r="BN260" i="6"/>
  <c r="BN50" i="19" s="1"/>
  <c r="BO260" i="6"/>
  <c r="BO50" i="19" s="1"/>
  <c r="BP260" i="6"/>
  <c r="BP50" i="19" s="1"/>
  <c r="BQ260" i="6"/>
  <c r="BQ50" i="19" s="1"/>
  <c r="BH156" i="6" l="1"/>
  <c r="BH161" i="6" s="1"/>
  <c r="BF218" i="6"/>
  <c r="BF223" i="6" s="1"/>
  <c r="V156" i="6"/>
  <c r="V161" i="6" s="1"/>
  <c r="W156" i="6"/>
  <c r="W161" i="6" s="1"/>
  <c r="AU156" i="6"/>
  <c r="AU161" i="6" s="1"/>
  <c r="BO218" i="6"/>
  <c r="BO223" i="6" s="1"/>
  <c r="BO226" i="6" s="1"/>
  <c r="K156" i="6"/>
  <c r="K161" i="6" s="1"/>
  <c r="K164" i="6" s="1"/>
  <c r="AP218" i="6"/>
  <c r="AP223" i="6" s="1"/>
  <c r="AZ156" i="6"/>
  <c r="AZ161" i="6" s="1"/>
  <c r="Z218" i="6"/>
  <c r="Z223" i="6" s="1"/>
  <c r="BB156" i="6"/>
  <c r="BB161" i="6" s="1"/>
  <c r="BC156" i="6"/>
  <c r="BC161" i="6" s="1"/>
  <c r="AZ164" i="6"/>
  <c r="BO156" i="6"/>
  <c r="BO161" i="6" s="1"/>
  <c r="AB156" i="6"/>
  <c r="AB161" i="6" s="1"/>
  <c r="J218" i="6"/>
  <c r="AL156" i="6"/>
  <c r="AL161" i="6" s="1"/>
  <c r="BG218" i="6"/>
  <c r="BG223" i="6" s="1"/>
  <c r="AM156" i="6"/>
  <c r="AM161" i="6" s="1"/>
  <c r="AV156" i="6"/>
  <c r="AV161" i="6" s="1"/>
  <c r="AY156" i="6"/>
  <c r="AY161" i="6" s="1"/>
  <c r="M164" i="6"/>
  <c r="Z27" i="10"/>
  <c r="Z29" i="10" s="1"/>
  <c r="AA218" i="6"/>
  <c r="AA223" i="6" s="1"/>
  <c r="AU164" i="6"/>
  <c r="X34" i="18"/>
  <c r="X48" i="18"/>
  <c r="AE13" i="37"/>
  <c r="AE20" i="18"/>
  <c r="AE22" i="18" s="1"/>
  <c r="AE61" i="12"/>
  <c r="AE49" i="12"/>
  <c r="X156" i="6"/>
  <c r="X161" i="6" s="1"/>
  <c r="AV164" i="6"/>
  <c r="BI218" i="6"/>
  <c r="BI223" i="6" s="1"/>
  <c r="BI226" i="6" s="1"/>
  <c r="AT226" i="6"/>
  <c r="AT18" i="14" s="1"/>
  <c r="AT19" i="14" s="1"/>
  <c r="Z156" i="6"/>
  <c r="Z161" i="6" s="1"/>
  <c r="X33" i="16"/>
  <c r="X47" i="16"/>
  <c r="AA156" i="6"/>
  <c r="AA161" i="6" s="1"/>
  <c r="AY164" i="6"/>
  <c r="P226" i="6"/>
  <c r="P18" i="14" s="1"/>
  <c r="P19" i="14" s="1"/>
  <c r="AN218" i="6"/>
  <c r="AN223" i="6" s="1"/>
  <c r="AN226" i="6" s="1"/>
  <c r="AN18" i="14" s="1"/>
  <c r="AN19" i="14" s="1"/>
  <c r="T156" i="6"/>
  <c r="T161" i="6" s="1"/>
  <c r="AR156" i="6"/>
  <c r="AR161" i="6" s="1"/>
  <c r="AR164" i="6" s="1"/>
  <c r="AG218" i="6"/>
  <c r="AG223" i="6" s="1"/>
  <c r="U156" i="6"/>
  <c r="U161" i="6" s="1"/>
  <c r="AK164" i="6"/>
  <c r="AX218" i="6"/>
  <c r="AX223" i="6" s="1"/>
  <c r="N156" i="6"/>
  <c r="N161" i="6" s="1"/>
  <c r="N164" i="6" s="1"/>
  <c r="BB164" i="6"/>
  <c r="AY218" i="6"/>
  <c r="AY223" i="6" s="1"/>
  <c r="AE156" i="6"/>
  <c r="AE161" i="6" s="1"/>
  <c r="X35" i="18"/>
  <c r="X13" i="18" s="1"/>
  <c r="X15" i="18" s="1"/>
  <c r="Y8" i="31"/>
  <c r="Z20" i="13"/>
  <c r="AB218" i="6"/>
  <c r="AB223" i="6" s="1"/>
  <c r="U218" i="6"/>
  <c r="U223" i="6" s="1"/>
  <c r="Y164" i="6"/>
  <c r="BM156" i="6"/>
  <c r="BM161" i="6" s="1"/>
  <c r="BM164" i="6" s="1"/>
  <c r="BB218" i="6"/>
  <c r="BB223" i="6" s="1"/>
  <c r="J156" i="6"/>
  <c r="AX156" i="6"/>
  <c r="AX161" i="6" s="1"/>
  <c r="X34" i="16"/>
  <c r="X13" i="16" s="1"/>
  <c r="X15" i="16" s="1"/>
  <c r="AE218" i="6"/>
  <c r="AE223" i="6" s="1"/>
  <c r="J223" i="6"/>
  <c r="J226" i="6" s="1"/>
  <c r="BF226" i="6"/>
  <c r="BF18" i="14" s="1"/>
  <c r="BF19" i="14" s="1"/>
  <c r="K218" i="6"/>
  <c r="K223" i="6" s="1"/>
  <c r="AE164" i="6"/>
  <c r="Y17" i="34"/>
  <c r="Y27" i="17"/>
  <c r="AE28" i="17" s="1"/>
  <c r="Y12" i="17"/>
  <c r="Y10" i="31"/>
  <c r="Z41" i="15"/>
  <c r="H155" i="6"/>
  <c r="H148" i="6"/>
  <c r="H163" i="6"/>
  <c r="BF164" i="6"/>
  <c r="X17" i="28"/>
  <c r="N17" i="29"/>
  <c r="X218" i="6"/>
  <c r="X223" i="6" s="1"/>
  <c r="BL226" i="6"/>
  <c r="BL18" i="14" s="1"/>
  <c r="BL19" i="14" s="1"/>
  <c r="AB164" i="6"/>
  <c r="BP164" i="6"/>
  <c r="Q218" i="6"/>
  <c r="Q223" i="6" s="1"/>
  <c r="U164" i="6"/>
  <c r="BQ156" i="6"/>
  <c r="BQ161" i="6" s="1"/>
  <c r="BL164" i="6"/>
  <c r="AH218" i="6"/>
  <c r="AH223" i="6" s="1"/>
  <c r="AH226" i="6" s="1"/>
  <c r="AL164" i="6"/>
  <c r="BJ156" i="6"/>
  <c r="BJ161" i="6" s="1"/>
  <c r="BJ164" i="6" s="1"/>
  <c r="O156" i="6"/>
  <c r="O161" i="6" s="1"/>
  <c r="O164" i="6" s="1"/>
  <c r="BC164" i="6"/>
  <c r="L218" i="6"/>
  <c r="L223" i="6" s="1"/>
  <c r="AB226" i="6"/>
  <c r="AB18" i="14" s="1"/>
  <c r="AB19" i="14" s="1"/>
  <c r="AF164" i="6"/>
  <c r="BD164" i="6"/>
  <c r="BQ218" i="6"/>
  <c r="BQ223" i="6" s="1"/>
  <c r="AW156" i="6"/>
  <c r="AW161" i="6" s="1"/>
  <c r="AW164" i="6" s="1"/>
  <c r="AL218" i="6"/>
  <c r="AL223" i="6" s="1"/>
  <c r="AH156" i="6"/>
  <c r="AH161" i="6" s="1"/>
  <c r="AH164" i="6" s="1"/>
  <c r="O218" i="6"/>
  <c r="O223" i="6" s="1"/>
  <c r="AE226" i="6"/>
  <c r="AE18" i="14" s="1"/>
  <c r="AE19" i="14" s="1"/>
  <c r="AI156" i="6"/>
  <c r="AI161" i="6" s="1"/>
  <c r="AI164" i="6" s="1"/>
  <c r="BG164" i="6"/>
  <c r="AA8" i="34"/>
  <c r="AA44" i="15"/>
  <c r="L8" i="36"/>
  <c r="O8" i="35"/>
  <c r="Y48" i="15"/>
  <c r="Y33" i="15"/>
  <c r="Y11" i="14"/>
  <c r="Y13" i="14" s="1"/>
  <c r="Y20" i="14"/>
  <c r="X23" i="34"/>
  <c r="N23" i="35"/>
  <c r="Y8" i="28"/>
  <c r="Y19" i="16"/>
  <c r="Y21" i="16" s="1"/>
  <c r="Y26" i="11"/>
  <c r="Y27" i="11" s="1"/>
  <c r="AZ20" i="14"/>
  <c r="AZ33" i="15"/>
  <c r="AZ48" i="15"/>
  <c r="AZ11" i="14"/>
  <c r="AZ13" i="14" s="1"/>
  <c r="BC226" i="6"/>
  <c r="BC18" i="14" s="1"/>
  <c r="BC19" i="14" s="1"/>
  <c r="BM218" i="6"/>
  <c r="BM223" i="6" s="1"/>
  <c r="BA156" i="6"/>
  <c r="BA161" i="6" s="1"/>
  <c r="BA164" i="6" s="1"/>
  <c r="BQ164" i="6"/>
  <c r="H9" i="30"/>
  <c r="H9" i="28"/>
  <c r="H9" i="29"/>
  <c r="H9" i="23"/>
  <c r="R218" i="6"/>
  <c r="R223" i="6" s="1"/>
  <c r="V164" i="6"/>
  <c r="AT156" i="6"/>
  <c r="AT161" i="6" s="1"/>
  <c r="AT164" i="6" s="1"/>
  <c r="S218" i="6"/>
  <c r="S223" i="6" s="1"/>
  <c r="BG226" i="6"/>
  <c r="BG18" i="14" s="1"/>
  <c r="BG19" i="14" s="1"/>
  <c r="AM164" i="6"/>
  <c r="BK156" i="6"/>
  <c r="BK161" i="6" s="1"/>
  <c r="BK164" i="6" s="1"/>
  <c r="Y29" i="15"/>
  <c r="Y10" i="12"/>
  <c r="Y11" i="12" s="1"/>
  <c r="BH218" i="6"/>
  <c r="BH223" i="6" s="1"/>
  <c r="P164" i="6"/>
  <c r="AN156" i="6"/>
  <c r="AN161" i="6" s="1"/>
  <c r="AC226" i="6"/>
  <c r="AC18" i="14" s="1"/>
  <c r="AC19" i="14" s="1"/>
  <c r="BA218" i="6"/>
  <c r="BA223" i="6" s="1"/>
  <c r="AG156" i="6"/>
  <c r="AG161" i="6" s="1"/>
  <c r="AG164" i="6" s="1"/>
  <c r="V218" i="6"/>
  <c r="V223" i="6" s="1"/>
  <c r="R164" i="6"/>
  <c r="BK218" i="6"/>
  <c r="BK223" i="6" s="1"/>
  <c r="S156" i="6"/>
  <c r="S161" i="6" s="1"/>
  <c r="S164" i="6" s="1"/>
  <c r="AC164" i="6"/>
  <c r="Z226" i="6"/>
  <c r="Z18" i="14" s="1"/>
  <c r="Z19" i="14" s="1"/>
  <c r="X22" i="34"/>
  <c r="N22" i="35"/>
  <c r="S226" i="6"/>
  <c r="S18" i="14" s="1"/>
  <c r="S19" i="14" s="1"/>
  <c r="Y32" i="15"/>
  <c r="Y15" i="15"/>
  <c r="AN164" i="6"/>
  <c r="BA226" i="6"/>
  <c r="BA18" i="14" s="1"/>
  <c r="BA19" i="14" s="1"/>
  <c r="BE156" i="6"/>
  <c r="BE161" i="6" s="1"/>
  <c r="BE164" i="6" s="1"/>
  <c r="AP156" i="6"/>
  <c r="AP161" i="6" s="1"/>
  <c r="AP164" i="6" s="1"/>
  <c r="AQ164" i="6"/>
  <c r="J50" i="19"/>
  <c r="H260" i="6"/>
  <c r="H50" i="19" s="1"/>
  <c r="BD218" i="6"/>
  <c r="BD223" i="6" s="1"/>
  <c r="T164" i="6"/>
  <c r="AJ156" i="6"/>
  <c r="AJ161" i="6" s="1"/>
  <c r="AJ164" i="6" s="1"/>
  <c r="BH164" i="6"/>
  <c r="AW218" i="6"/>
  <c r="AW223" i="6" s="1"/>
  <c r="AW226" i="6" s="1"/>
  <c r="H225" i="6"/>
  <c r="H217" i="6"/>
  <c r="H210" i="6"/>
  <c r="BN218" i="6"/>
  <c r="BN223" i="6" s="1"/>
  <c r="AD156" i="6"/>
  <c r="AD161" i="6" s="1"/>
  <c r="AD164" i="6" s="1"/>
  <c r="X16" i="31"/>
  <c r="Y11" i="17"/>
  <c r="N16" i="32"/>
  <c r="AQ226" i="6"/>
  <c r="AQ18" i="14" s="1"/>
  <c r="AQ19" i="14" s="1"/>
  <c r="W164" i="6"/>
  <c r="X18" i="28"/>
  <c r="N18" i="29"/>
  <c r="Y12" i="37"/>
  <c r="Y12" i="13"/>
  <c r="Y13" i="13" s="1"/>
  <c r="Z47" i="12"/>
  <c r="AR218" i="6"/>
  <c r="AR223" i="6" s="1"/>
  <c r="X164" i="6"/>
  <c r="M226" i="6"/>
  <c r="M18" i="14" s="1"/>
  <c r="M19" i="14" s="1"/>
  <c r="AK218" i="6"/>
  <c r="AK223" i="6" s="1"/>
  <c r="AK226" i="6" s="1"/>
  <c r="Q164" i="6"/>
  <c r="AO156" i="6"/>
  <c r="AO161" i="6" s="1"/>
  <c r="AO164" i="6" s="1"/>
  <c r="V226" i="6"/>
  <c r="V18" i="14" s="1"/>
  <c r="V19" i="14" s="1"/>
  <c r="Z164" i="6"/>
  <c r="AX164" i="6"/>
  <c r="BN156" i="6"/>
  <c r="BN161" i="6" s="1"/>
  <c r="BN164" i="6" s="1"/>
  <c r="AU218" i="6"/>
  <c r="AU223" i="6" s="1"/>
  <c r="AA164" i="6"/>
  <c r="BO164" i="6"/>
  <c r="BO18" i="14" l="1"/>
  <c r="BO19" i="14" s="1"/>
  <c r="BP226" i="6"/>
  <c r="Q226" i="6"/>
  <c r="Q18" i="14" s="1"/>
  <c r="Q19" i="14" s="1"/>
  <c r="BM226" i="6"/>
  <c r="AU226" i="6"/>
  <c r="J18" i="14"/>
  <c r="J19" i="14" s="1"/>
  <c r="K226" i="6"/>
  <c r="AH18" i="14"/>
  <c r="AH19" i="14" s="1"/>
  <c r="AI226" i="6"/>
  <c r="AK18" i="14"/>
  <c r="AK19" i="14" s="1"/>
  <c r="AL226" i="6"/>
  <c r="AW18" i="14"/>
  <c r="AW19" i="14" s="1"/>
  <c r="AX226" i="6"/>
  <c r="BI18" i="14"/>
  <c r="BI19" i="14" s="1"/>
  <c r="BJ226" i="6"/>
  <c r="AN48" i="15"/>
  <c r="AN11" i="14"/>
  <c r="AN13" i="14" s="1"/>
  <c r="AN20" i="14"/>
  <c r="AN33" i="15"/>
  <c r="M48" i="15"/>
  <c r="M33" i="15"/>
  <c r="M11" i="14"/>
  <c r="M13" i="14" s="1"/>
  <c r="M20" i="14"/>
  <c r="N226" i="6"/>
  <c r="AR226" i="6"/>
  <c r="AA226" i="6"/>
  <c r="AA18" i="14" s="1"/>
  <c r="AA19" i="14" s="1"/>
  <c r="Q48" i="15"/>
  <c r="Q33" i="15"/>
  <c r="Q20" i="14"/>
  <c r="Q10" i="28" s="1"/>
  <c r="Q11" i="28" s="1"/>
  <c r="Q11" i="14"/>
  <c r="Q13" i="14" s="1"/>
  <c r="BA48" i="15"/>
  <c r="BA33" i="15"/>
  <c r="BA11" i="14"/>
  <c r="BA13" i="14" s="1"/>
  <c r="BA20" i="14"/>
  <c r="BA10" i="28" s="1"/>
  <c r="Y14" i="31"/>
  <c r="Z24" i="11"/>
  <c r="J161" i="6"/>
  <c r="J164" i="6" s="1"/>
  <c r="H156" i="6"/>
  <c r="H161" i="6" s="1"/>
  <c r="BG33" i="15"/>
  <c r="BG48" i="15"/>
  <c r="BG20" i="14"/>
  <c r="BG10" i="28" s="1"/>
  <c r="BG11" i="14"/>
  <c r="BG13" i="14" s="1"/>
  <c r="AZ10" i="19"/>
  <c r="AZ50" i="15"/>
  <c r="AZ51" i="15" s="1"/>
  <c r="AZ35" i="15"/>
  <c r="Y19" i="34"/>
  <c r="Y26" i="16"/>
  <c r="AA27" i="16" s="1"/>
  <c r="Y12" i="16"/>
  <c r="W226" i="6"/>
  <c r="BD226" i="6"/>
  <c r="AE48" i="15"/>
  <c r="AE20" i="14"/>
  <c r="AE33" i="15"/>
  <c r="AE11" i="14"/>
  <c r="AE13" i="14" s="1"/>
  <c r="BF48" i="15"/>
  <c r="BF11" i="14"/>
  <c r="BF13" i="14" s="1"/>
  <c r="BF20" i="14"/>
  <c r="BF33" i="15"/>
  <c r="Z11" i="13"/>
  <c r="X24" i="34"/>
  <c r="N24" i="35"/>
  <c r="AE21" i="34"/>
  <c r="AE12" i="18"/>
  <c r="BC48" i="15"/>
  <c r="BC20" i="14"/>
  <c r="BC33" i="15"/>
  <c r="BC11" i="14"/>
  <c r="BC13" i="14" s="1"/>
  <c r="BH226" i="6"/>
  <c r="BH18" i="14" s="1"/>
  <c r="BH19" i="14" s="1"/>
  <c r="Y9" i="19"/>
  <c r="Y30" i="15"/>
  <c r="V48" i="15"/>
  <c r="V20" i="14"/>
  <c r="V33" i="15"/>
  <c r="V11" i="14"/>
  <c r="V13" i="14" s="1"/>
  <c r="AQ33" i="15"/>
  <c r="AQ48" i="15"/>
  <c r="AQ11" i="14"/>
  <c r="AQ13" i="14" s="1"/>
  <c r="AQ20" i="14"/>
  <c r="Y10" i="28"/>
  <c r="Y11" i="28" s="1"/>
  <c r="AD226" i="6"/>
  <c r="AD18" i="14" s="1"/>
  <c r="AD19" i="14" s="1"/>
  <c r="P48" i="15"/>
  <c r="P11" i="14"/>
  <c r="P13" i="14" s="1"/>
  <c r="P20" i="14"/>
  <c r="P33" i="15"/>
  <c r="Y14" i="34"/>
  <c r="Y29" i="13"/>
  <c r="Y31" i="13" s="1"/>
  <c r="Y14" i="13"/>
  <c r="AF226" i="6"/>
  <c r="Z48" i="15"/>
  <c r="Z11" i="14"/>
  <c r="Z13" i="14" s="1"/>
  <c r="Z20" i="14"/>
  <c r="Z10" i="28" s="1"/>
  <c r="Z33" i="15"/>
  <c r="AC48" i="15"/>
  <c r="AC33" i="15"/>
  <c r="AC11" i="14"/>
  <c r="AC13" i="14" s="1"/>
  <c r="AC20" i="14"/>
  <c r="AC10" i="28" s="1"/>
  <c r="AZ10" i="28"/>
  <c r="Y10" i="19"/>
  <c r="Y50" i="15"/>
  <c r="Y51" i="15" s="1"/>
  <c r="Y35" i="15"/>
  <c r="AE29" i="17"/>
  <c r="AE14" i="17"/>
  <c r="H218" i="6"/>
  <c r="H223" i="6" s="1"/>
  <c r="X18" i="31"/>
  <c r="Y11" i="18"/>
  <c r="N18" i="32"/>
  <c r="T226" i="6"/>
  <c r="X25" i="34"/>
  <c r="N25" i="35"/>
  <c r="S33" i="15"/>
  <c r="S20" i="14"/>
  <c r="S10" i="28" s="1"/>
  <c r="S11" i="28" s="1"/>
  <c r="S48" i="15"/>
  <c r="S11" i="14"/>
  <c r="S13" i="14" s="1"/>
  <c r="Z25" i="12"/>
  <c r="Y40" i="17"/>
  <c r="Y41" i="17" s="1"/>
  <c r="BB226" i="6"/>
  <c r="BB18" i="14" s="1"/>
  <c r="BB19" i="14" s="1"/>
  <c r="AB20" i="14"/>
  <c r="AB33" i="15"/>
  <c r="AB48" i="15"/>
  <c r="AB11" i="14"/>
  <c r="AB13" i="14" s="1"/>
  <c r="R226" i="6"/>
  <c r="R18" i="14" s="1"/>
  <c r="R19" i="14" s="1"/>
  <c r="BL48" i="15"/>
  <c r="BL11" i="14"/>
  <c r="BL13" i="14" s="1"/>
  <c r="BL20" i="14"/>
  <c r="BL33" i="15"/>
  <c r="AO226" i="6"/>
  <c r="X17" i="31"/>
  <c r="Y11" i="16"/>
  <c r="N17" i="32"/>
  <c r="AT48" i="15"/>
  <c r="AT20" i="14"/>
  <c r="AT11" i="14"/>
  <c r="AT13" i="14" s="1"/>
  <c r="AT33" i="15"/>
  <c r="Z53" i="12"/>
  <c r="Z54" i="12" s="1"/>
  <c r="Z11" i="11"/>
  <c r="Z12" i="11" s="1"/>
  <c r="Z23" i="10"/>
  <c r="Z24" i="10" s="1"/>
  <c r="AU18" i="14" l="1"/>
  <c r="AU19" i="14" s="1"/>
  <c r="AV226" i="6"/>
  <c r="AV18" i="14" s="1"/>
  <c r="AV19" i="14" s="1"/>
  <c r="BM18" i="14"/>
  <c r="BM19" i="14" s="1"/>
  <c r="BN226" i="6"/>
  <c r="BN18" i="14" s="1"/>
  <c r="BN19" i="14" s="1"/>
  <c r="BP18" i="14"/>
  <c r="BP19" i="14" s="1"/>
  <c r="BQ226" i="6"/>
  <c r="BQ18" i="14" s="1"/>
  <c r="BQ19" i="14" s="1"/>
  <c r="BO33" i="15"/>
  <c r="BO11" i="14"/>
  <c r="BO13" i="14" s="1"/>
  <c r="BO20" i="14"/>
  <c r="BO10" i="28" s="1"/>
  <c r="BO48" i="15"/>
  <c r="Y52" i="15"/>
  <c r="Y31" i="15"/>
  <c r="Y14" i="28"/>
  <c r="Y9" i="20"/>
  <c r="Y10" i="20" s="1"/>
  <c r="AZ52" i="15"/>
  <c r="AZ31" i="15"/>
  <c r="AF18" i="14"/>
  <c r="AF19" i="14" s="1"/>
  <c r="AG226" i="6"/>
  <c r="AG18" i="14" s="1"/>
  <c r="AG19" i="14" s="1"/>
  <c r="P10" i="28"/>
  <c r="P11" i="28" s="1"/>
  <c r="AD48" i="15"/>
  <c r="AD20" i="14"/>
  <c r="AD10" i="28" s="1"/>
  <c r="AD11" i="14"/>
  <c r="AD13" i="14" s="1"/>
  <c r="AD33" i="15"/>
  <c r="V10" i="19"/>
  <c r="V11" i="19" s="1"/>
  <c r="V22" i="19" s="1"/>
  <c r="V23" i="19" s="1"/>
  <c r="V50" i="15"/>
  <c r="V35" i="15"/>
  <c r="BF10" i="19"/>
  <c r="BF50" i="15"/>
  <c r="BF51" i="15" s="1"/>
  <c r="BF35" i="15"/>
  <c r="BD18" i="14"/>
  <c r="BD19" i="14" s="1"/>
  <c r="BE226" i="6"/>
  <c r="BE18" i="14" s="1"/>
  <c r="BE19" i="14" s="1"/>
  <c r="AX18" i="14"/>
  <c r="AX19" i="14" s="1"/>
  <c r="AY226" i="6"/>
  <c r="AY18" i="14" s="1"/>
  <c r="AY19" i="14" s="1"/>
  <c r="AB10" i="19"/>
  <c r="AB50" i="15"/>
  <c r="AB35" i="15"/>
  <c r="AE18" i="34"/>
  <c r="AC10" i="19"/>
  <c r="AC35" i="15"/>
  <c r="AC50" i="15"/>
  <c r="Y13" i="28"/>
  <c r="P10" i="19"/>
  <c r="P11" i="19" s="1"/>
  <c r="P22" i="19" s="1"/>
  <c r="P23" i="19" s="1"/>
  <c r="P50" i="15"/>
  <c r="P35" i="15"/>
  <c r="BC10" i="28"/>
  <c r="BA10" i="19"/>
  <c r="BA50" i="15"/>
  <c r="BA51" i="15" s="1"/>
  <c r="BA35" i="15"/>
  <c r="AA33" i="15"/>
  <c r="AA48" i="15"/>
  <c r="AA11" i="14"/>
  <c r="AA13" i="14" s="1"/>
  <c r="AA20" i="14"/>
  <c r="AN10" i="28"/>
  <c r="AW48" i="15"/>
  <c r="AW33" i="15"/>
  <c r="AW20" i="14"/>
  <c r="AW11" i="14"/>
  <c r="AW13" i="14" s="1"/>
  <c r="Y32" i="13"/>
  <c r="Y9" i="31" s="1"/>
  <c r="Z28" i="13"/>
  <c r="P51" i="15"/>
  <c r="V10" i="28"/>
  <c r="V11" i="28" s="1"/>
  <c r="AE10" i="19"/>
  <c r="AE35" i="15"/>
  <c r="AE50" i="15"/>
  <c r="AE51" i="15" s="1"/>
  <c r="BG10" i="19"/>
  <c r="BG50" i="15"/>
  <c r="BG35" i="15"/>
  <c r="AR18" i="14"/>
  <c r="AR19" i="14" s="1"/>
  <c r="AS226" i="6"/>
  <c r="AS18" i="14" s="1"/>
  <c r="AS19" i="14" s="1"/>
  <c r="AN10" i="19"/>
  <c r="AN50" i="15"/>
  <c r="AN51" i="15" s="1"/>
  <c r="AN35" i="15"/>
  <c r="AL18" i="14"/>
  <c r="AL19" i="14" s="1"/>
  <c r="AM226" i="6"/>
  <c r="AM18" i="14" s="1"/>
  <c r="AM19" i="14" s="1"/>
  <c r="S10" i="19"/>
  <c r="S11" i="19" s="1"/>
  <c r="S22" i="19" s="1"/>
  <c r="S23" i="19" s="1"/>
  <c r="S50" i="15"/>
  <c r="S51" i="15" s="1"/>
  <c r="S35" i="15"/>
  <c r="T18" i="14"/>
  <c r="T19" i="14" s="1"/>
  <c r="U226" i="6"/>
  <c r="U18" i="14" s="1"/>
  <c r="U19" i="14" s="1"/>
  <c r="AC51" i="15"/>
  <c r="V51" i="15"/>
  <c r="N18" i="14"/>
  <c r="N19" i="14" s="1"/>
  <c r="O226" i="6"/>
  <c r="O18" i="14" s="1"/>
  <c r="O19" i="14" s="1"/>
  <c r="AK48" i="15"/>
  <c r="AK33" i="15"/>
  <c r="AK11" i="14"/>
  <c r="AK13" i="14" s="1"/>
  <c r="AK20" i="14"/>
  <c r="R48" i="15"/>
  <c r="R11" i="14"/>
  <c r="R13" i="14" s="1"/>
  <c r="R20" i="14"/>
  <c r="R10" i="28" s="1"/>
  <c r="R11" i="28" s="1"/>
  <c r="R33" i="15"/>
  <c r="AT10" i="28"/>
  <c r="Y42" i="17"/>
  <c r="Y46" i="17"/>
  <c r="Y47" i="17" s="1"/>
  <c r="Y33" i="17"/>
  <c r="AQ10" i="28"/>
  <c r="AE10" i="28"/>
  <c r="W18" i="14"/>
  <c r="W19" i="14" s="1"/>
  <c r="X226" i="6"/>
  <c r="X18" i="14" s="1"/>
  <c r="X19" i="14" s="1"/>
  <c r="BG51" i="15"/>
  <c r="M10" i="28"/>
  <c r="M11" i="28" s="1"/>
  <c r="AI18" i="14"/>
  <c r="AI19" i="14" s="1"/>
  <c r="AJ226" i="6"/>
  <c r="AJ18" i="14" s="1"/>
  <c r="AJ19" i="14" s="1"/>
  <c r="Y39" i="16"/>
  <c r="Y40" i="16" s="1"/>
  <c r="AQ10" i="19"/>
  <c r="AQ50" i="15"/>
  <c r="AQ35" i="15"/>
  <c r="Y11" i="19"/>
  <c r="Y22" i="19" s="1"/>
  <c r="Y23" i="19" s="1"/>
  <c r="AA28" i="16"/>
  <c r="AA14" i="16"/>
  <c r="Q10" i="19"/>
  <c r="Q11" i="19" s="1"/>
  <c r="Q22" i="19" s="1"/>
  <c r="Q23" i="19" s="1"/>
  <c r="Q35" i="15"/>
  <c r="Q50" i="15"/>
  <c r="Q51" i="15" s="1"/>
  <c r="M10" i="19"/>
  <c r="M11" i="19" s="1"/>
  <c r="M22" i="19" s="1"/>
  <c r="M23" i="19" s="1"/>
  <c r="M50" i="15"/>
  <c r="M35" i="15"/>
  <c r="AH48" i="15"/>
  <c r="AH11" i="14"/>
  <c r="AH13" i="14" s="1"/>
  <c r="AH20" i="14"/>
  <c r="AH33" i="15"/>
  <c r="AB51" i="15"/>
  <c r="AB10" i="28"/>
  <c r="BB48" i="15"/>
  <c r="BB20" i="14"/>
  <c r="BB33" i="15"/>
  <c r="BB11" i="14"/>
  <c r="BB13" i="14" s="1"/>
  <c r="S14" i="28"/>
  <c r="S9" i="20"/>
  <c r="S10" i="20" s="1"/>
  <c r="Y40" i="18"/>
  <c r="Y41" i="18" s="1"/>
  <c r="Y27" i="18"/>
  <c r="Y28" i="18" s="1"/>
  <c r="Z10" i="19"/>
  <c r="Z50" i="15"/>
  <c r="Z35" i="15"/>
  <c r="AQ51" i="15"/>
  <c r="BH20" i="14"/>
  <c r="BH10" i="28" s="1"/>
  <c r="BH33" i="15"/>
  <c r="BH48" i="15"/>
  <c r="BH11" i="14"/>
  <c r="BH13" i="14" s="1"/>
  <c r="Q14" i="28"/>
  <c r="Q19" i="28" s="1"/>
  <c r="Q9" i="20"/>
  <c r="Q10" i="20" s="1"/>
  <c r="BJ18" i="14"/>
  <c r="BJ19" i="14" s="1"/>
  <c r="BK226" i="6"/>
  <c r="BK18" i="14" s="1"/>
  <c r="BK19" i="14" s="1"/>
  <c r="K18" i="14"/>
  <c r="K19" i="14" s="1"/>
  <c r="L226" i="6"/>
  <c r="L18" i="14" s="1"/>
  <c r="L19" i="14" s="1"/>
  <c r="AT10" i="19"/>
  <c r="AT50" i="15"/>
  <c r="AT51" i="15" s="1"/>
  <c r="AT35" i="15"/>
  <c r="Z10" i="37"/>
  <c r="Z24" i="12"/>
  <c r="Z26" i="12" s="1"/>
  <c r="Z31" i="12" s="1"/>
  <c r="Z33" i="12" s="1"/>
  <c r="AA20" i="10"/>
  <c r="BL10" i="28"/>
  <c r="Z16" i="19"/>
  <c r="Z17" i="19" s="1"/>
  <c r="Z42" i="15"/>
  <c r="Z20" i="15"/>
  <c r="Z25" i="11"/>
  <c r="BL10" i="19"/>
  <c r="BL50" i="15"/>
  <c r="BL51" i="15" s="1"/>
  <c r="BL35" i="15"/>
  <c r="Z16" i="37"/>
  <c r="Z71" i="12"/>
  <c r="Z73" i="12" s="1"/>
  <c r="Z63" i="12"/>
  <c r="Z65" i="12" s="1"/>
  <c r="AO18" i="14"/>
  <c r="AO19" i="14" s="1"/>
  <c r="AP226" i="6"/>
  <c r="AP18" i="14" s="1"/>
  <c r="AP19" i="14" s="1"/>
  <c r="Z51" i="15"/>
  <c r="BC10" i="19"/>
  <c r="BC50" i="15"/>
  <c r="BC51" i="15" s="1"/>
  <c r="BC35" i="15"/>
  <c r="BF10" i="28"/>
  <c r="Z10" i="29"/>
  <c r="M51" i="15"/>
  <c r="BI48" i="15"/>
  <c r="BI33" i="15"/>
  <c r="BI11" i="14"/>
  <c r="BI13" i="14" s="1"/>
  <c r="BI20" i="14"/>
  <c r="J48" i="15"/>
  <c r="J11" i="14"/>
  <c r="J13" i="14" s="1"/>
  <c r="J20" i="14"/>
  <c r="J33" i="15"/>
  <c r="BO10" i="19" l="1"/>
  <c r="BO50" i="15"/>
  <c r="BO51" i="15" s="1"/>
  <c r="BO35" i="15"/>
  <c r="BQ48" i="15"/>
  <c r="BQ33" i="15"/>
  <c r="BQ11" i="14"/>
  <c r="BQ13" i="14" s="1"/>
  <c r="BQ20" i="14"/>
  <c r="BQ10" i="28" s="1"/>
  <c r="BP11" i="14"/>
  <c r="BP13" i="14" s="1"/>
  <c r="BP20" i="14"/>
  <c r="BP48" i="15"/>
  <c r="BP33" i="15"/>
  <c r="BN48" i="15"/>
  <c r="BN33" i="15"/>
  <c r="BN11" i="14"/>
  <c r="BN13" i="14" s="1"/>
  <c r="BN20" i="14"/>
  <c r="BN10" i="28" s="1"/>
  <c r="BM20" i="14"/>
  <c r="BM48" i="15"/>
  <c r="BM33" i="15"/>
  <c r="BM11" i="14"/>
  <c r="BM13" i="14" s="1"/>
  <c r="AV11" i="14"/>
  <c r="AV13" i="14" s="1"/>
  <c r="AV20" i="14"/>
  <c r="AV10" i="28" s="1"/>
  <c r="AV33" i="15"/>
  <c r="AV48" i="15"/>
  <c r="AU48" i="15"/>
  <c r="AU20" i="14"/>
  <c r="AU33" i="15"/>
  <c r="AU11" i="14"/>
  <c r="AU13" i="14" s="1"/>
  <c r="AN52" i="15"/>
  <c r="AN31" i="15"/>
  <c r="BF52" i="15"/>
  <c r="BF31" i="15"/>
  <c r="Q52" i="15"/>
  <c r="Q9" i="34" s="1"/>
  <c r="Q31" i="15"/>
  <c r="BA52" i="15"/>
  <c r="BA9" i="34" s="1"/>
  <c r="BA31" i="15"/>
  <c r="AT52" i="15"/>
  <c r="AT31" i="15"/>
  <c r="BC52" i="15"/>
  <c r="BC31" i="15"/>
  <c r="J10" i="19"/>
  <c r="J11" i="19" s="1"/>
  <c r="J50" i="15"/>
  <c r="J35" i="15"/>
  <c r="Z17" i="37"/>
  <c r="AA70" i="12"/>
  <c r="Z17" i="11"/>
  <c r="Z18" i="11" s="1"/>
  <c r="Z21" i="19"/>
  <c r="Z43" i="15"/>
  <c r="Z21" i="15"/>
  <c r="AQ52" i="15"/>
  <c r="AQ31" i="15"/>
  <c r="S20" i="20"/>
  <c r="S21" i="20" s="1"/>
  <c r="S34" i="20" s="1"/>
  <c r="S14" i="20"/>
  <c r="S15" i="20" s="1"/>
  <c r="S30" i="19"/>
  <c r="S49" i="19"/>
  <c r="BD48" i="15"/>
  <c r="BD11" i="14"/>
  <c r="BD13" i="14" s="1"/>
  <c r="BD20" i="14"/>
  <c r="BD33" i="15"/>
  <c r="AD10" i="19"/>
  <c r="AD50" i="15"/>
  <c r="AD35" i="15"/>
  <c r="AZ9" i="34"/>
  <c r="Z52" i="15"/>
  <c r="Z9" i="34" s="1"/>
  <c r="Z31" i="15"/>
  <c r="BL52" i="15"/>
  <c r="BL31" i="15"/>
  <c r="Y32" i="16"/>
  <c r="Y45" i="16"/>
  <c r="Y46" i="16" s="1"/>
  <c r="Y41" i="16"/>
  <c r="BG31" i="15"/>
  <c r="BG52" i="15"/>
  <c r="BG9" i="34" s="1"/>
  <c r="AK10" i="28"/>
  <c r="AM48" i="15"/>
  <c r="AM20" i="14"/>
  <c r="AM10" i="28" s="1"/>
  <c r="AM33" i="15"/>
  <c r="AM11" i="14"/>
  <c r="AM13" i="14" s="1"/>
  <c r="P30" i="19"/>
  <c r="P49" i="19"/>
  <c r="AB52" i="15"/>
  <c r="AB31" i="15"/>
  <c r="BI10" i="28"/>
  <c r="AK10" i="19"/>
  <c r="AK35" i="15"/>
  <c r="AK50" i="15"/>
  <c r="AK51" i="15" s="1"/>
  <c r="V52" i="15"/>
  <c r="V31" i="15"/>
  <c r="AL48" i="15"/>
  <c r="AL20" i="14"/>
  <c r="AL10" i="28" s="1"/>
  <c r="AL11" i="14"/>
  <c r="AL13" i="14" s="1"/>
  <c r="AL33" i="15"/>
  <c r="AD51" i="15"/>
  <c r="Y14" i="20"/>
  <c r="Y15" i="20" s="1"/>
  <c r="Y20" i="20"/>
  <c r="Y21" i="20" s="1"/>
  <c r="Y34" i="20" s="1"/>
  <c r="J51" i="15"/>
  <c r="M49" i="19"/>
  <c r="M30" i="19"/>
  <c r="L20" i="14"/>
  <c r="L10" i="28" s="1"/>
  <c r="L11" i="28" s="1"/>
  <c r="L33" i="15"/>
  <c r="L48" i="15"/>
  <c r="L11" i="14"/>
  <c r="L13" i="14" s="1"/>
  <c r="AJ20" i="14"/>
  <c r="AJ10" i="28" s="1"/>
  <c r="AJ33" i="15"/>
  <c r="AJ48" i="15"/>
  <c r="AJ11" i="14"/>
  <c r="AJ13" i="14" s="1"/>
  <c r="AO48" i="15"/>
  <c r="AO33" i="15"/>
  <c r="AO20" i="14"/>
  <c r="AO11" i="14"/>
  <c r="AO13" i="14" s="1"/>
  <c r="K33" i="15"/>
  <c r="K48" i="15"/>
  <c r="K11" i="14"/>
  <c r="K13" i="14" s="1"/>
  <c r="K20" i="14"/>
  <c r="K10" i="28" s="1"/>
  <c r="K11" i="28" s="1"/>
  <c r="AI33" i="15"/>
  <c r="AI48" i="15"/>
  <c r="AI20" i="14"/>
  <c r="AI10" i="28" s="1"/>
  <c r="AI11" i="14"/>
  <c r="AI13" i="14" s="1"/>
  <c r="W48" i="15"/>
  <c r="W20" i="14"/>
  <c r="W33" i="15"/>
  <c r="W11" i="14"/>
  <c r="W13" i="14" s="1"/>
  <c r="S31" i="15"/>
  <c r="S52" i="15"/>
  <c r="AC52" i="15"/>
  <c r="AC9" i="34" s="1"/>
  <c r="AC31" i="15"/>
  <c r="V14" i="28"/>
  <c r="V9" i="20"/>
  <c r="V10" i="20" s="1"/>
  <c r="AY33" i="15"/>
  <c r="AY48" i="15"/>
  <c r="AY20" i="14"/>
  <c r="AY10" i="28" s="1"/>
  <c r="AY11" i="14"/>
  <c r="AY13" i="14" s="1"/>
  <c r="X48" i="15"/>
  <c r="X11" i="14"/>
  <c r="X13" i="14" s="1"/>
  <c r="X20" i="14"/>
  <c r="X10" i="28" s="1"/>
  <c r="X11" i="28" s="1"/>
  <c r="X33" i="15"/>
  <c r="AA28" i="10"/>
  <c r="BK48" i="15"/>
  <c r="BK20" i="14"/>
  <c r="BK10" i="28" s="1"/>
  <c r="BK33" i="15"/>
  <c r="BK11" i="14"/>
  <c r="BK13" i="14" s="1"/>
  <c r="BH10" i="19"/>
  <c r="BH50" i="15"/>
  <c r="BH51" i="15" s="1"/>
  <c r="BH35" i="15"/>
  <c r="BB10" i="28"/>
  <c r="X10" i="29"/>
  <c r="AH10" i="28"/>
  <c r="R10" i="29"/>
  <c r="Q30" i="19"/>
  <c r="Q49" i="19"/>
  <c r="Y30" i="19"/>
  <c r="Y49" i="19"/>
  <c r="U48" i="15"/>
  <c r="U33" i="15"/>
  <c r="U11" i="14"/>
  <c r="U13" i="14" s="1"/>
  <c r="U20" i="14"/>
  <c r="U10" i="28" s="1"/>
  <c r="U11" i="28" s="1"/>
  <c r="P52" i="15"/>
  <c r="P31" i="15"/>
  <c r="AX48" i="15"/>
  <c r="AX11" i="14"/>
  <c r="AX13" i="14" s="1"/>
  <c r="AX20" i="14"/>
  <c r="AX33" i="15"/>
  <c r="P14" i="28"/>
  <c r="P9" i="20"/>
  <c r="P10" i="20" s="1"/>
  <c r="L11" i="29"/>
  <c r="AA20" i="34"/>
  <c r="O20" i="35"/>
  <c r="L20" i="36"/>
  <c r="Z11" i="37"/>
  <c r="Z20" i="17"/>
  <c r="Z22" i="17" s="1"/>
  <c r="Z13" i="15"/>
  <c r="Z14" i="15" s="1"/>
  <c r="Z21" i="13"/>
  <c r="Z23" i="13" s="1"/>
  <c r="Z39" i="12"/>
  <c r="AF41" i="12" s="1"/>
  <c r="Z48" i="12"/>
  <c r="Z50" i="12" s="1"/>
  <c r="Z17" i="9"/>
  <c r="Z18" i="9" s="1"/>
  <c r="BJ48" i="15"/>
  <c r="BJ20" i="14"/>
  <c r="BJ11" i="14"/>
  <c r="BJ13" i="14" s="1"/>
  <c r="BJ33" i="15"/>
  <c r="Y29" i="18"/>
  <c r="Y14" i="18"/>
  <c r="AH10" i="19"/>
  <c r="AH50" i="15"/>
  <c r="AH51" i="15" s="1"/>
  <c r="AH35" i="15"/>
  <c r="M14" i="28"/>
  <c r="M9" i="20"/>
  <c r="M10" i="20" s="1"/>
  <c r="Y48" i="17"/>
  <c r="Y34" i="17"/>
  <c r="Y35" i="17" s="1"/>
  <c r="Y13" i="17" s="1"/>
  <c r="Y15" i="17" s="1"/>
  <c r="T20" i="14"/>
  <c r="T33" i="15"/>
  <c r="T48" i="15"/>
  <c r="T11" i="14"/>
  <c r="T13" i="14" s="1"/>
  <c r="AA10" i="28"/>
  <c r="O10" i="29"/>
  <c r="AG48" i="15"/>
  <c r="AG33" i="15"/>
  <c r="AG20" i="14"/>
  <c r="AG10" i="28" s="1"/>
  <c r="AG11" i="14"/>
  <c r="AG13" i="14" s="1"/>
  <c r="Y9" i="34"/>
  <c r="AE52" i="15"/>
  <c r="AE31" i="15"/>
  <c r="BI10" i="19"/>
  <c r="BI35" i="15"/>
  <c r="BI50" i="15"/>
  <c r="H19" i="14"/>
  <c r="AB22" i="15"/>
  <c r="Y16" i="28"/>
  <c r="R14" i="28"/>
  <c r="R19" i="28" s="1"/>
  <c r="R9" i="20"/>
  <c r="R10" i="20" s="1"/>
  <c r="O48" i="15"/>
  <c r="O20" i="14"/>
  <c r="O10" i="28" s="1"/>
  <c r="O11" i="28" s="1"/>
  <c r="O33" i="15"/>
  <c r="O11" i="14"/>
  <c r="O13" i="14" s="1"/>
  <c r="AS48" i="15"/>
  <c r="AS33" i="15"/>
  <c r="AS11" i="14"/>
  <c r="AS13" i="14" s="1"/>
  <c r="AS20" i="14"/>
  <c r="AS10" i="28" s="1"/>
  <c r="AW10" i="19"/>
  <c r="AW50" i="15"/>
  <c r="AW51" i="15" s="1"/>
  <c r="AW35" i="15"/>
  <c r="AA10" i="19"/>
  <c r="AA50" i="15"/>
  <c r="AA51" i="15" s="1"/>
  <c r="AA35" i="15"/>
  <c r="V49" i="19"/>
  <c r="V30" i="19"/>
  <c r="AF48" i="15"/>
  <c r="AF11" i="14"/>
  <c r="AF13" i="14" s="1"/>
  <c r="AF20" i="14"/>
  <c r="AF33" i="15"/>
  <c r="S19" i="28"/>
  <c r="AP48" i="15"/>
  <c r="AP11" i="14"/>
  <c r="AP13" i="14" s="1"/>
  <c r="AP20" i="14"/>
  <c r="AP10" i="28" s="1"/>
  <c r="AP33" i="15"/>
  <c r="BB10" i="19"/>
  <c r="BB50" i="15"/>
  <c r="BB51" i="15" s="1"/>
  <c r="BB35" i="15"/>
  <c r="BI51" i="15"/>
  <c r="M31" i="15"/>
  <c r="M52" i="15"/>
  <c r="Q14" i="20"/>
  <c r="Q15" i="20" s="1"/>
  <c r="Q20" i="20"/>
  <c r="Q21" i="20" s="1"/>
  <c r="Q34" i="20" s="1"/>
  <c r="Y33" i="18"/>
  <c r="Y46" i="18"/>
  <c r="Y47" i="18" s="1"/>
  <c r="Y42" i="18"/>
  <c r="J10" i="28"/>
  <c r="J11" i="28" s="1"/>
  <c r="J10" i="29"/>
  <c r="Z15" i="37"/>
  <c r="AA60" i="12"/>
  <c r="Z45" i="15"/>
  <c r="Q82" i="20"/>
  <c r="P10" i="29"/>
  <c r="L10" i="29"/>
  <c r="R10" i="19"/>
  <c r="R11" i="19" s="1"/>
  <c r="R22" i="19" s="1"/>
  <c r="R23" i="19" s="1"/>
  <c r="R50" i="15"/>
  <c r="R51" i="15" s="1"/>
  <c r="R35" i="15"/>
  <c r="N48" i="15"/>
  <c r="N20" i="14"/>
  <c r="J10" i="30" s="1"/>
  <c r="N11" i="14"/>
  <c r="N13" i="14" s="1"/>
  <c r="N33" i="15"/>
  <c r="AR20" i="14"/>
  <c r="AR33" i="15"/>
  <c r="AR48" i="15"/>
  <c r="AR11" i="14"/>
  <c r="AR13" i="14" s="1"/>
  <c r="AW10" i="28"/>
  <c r="W10" i="29"/>
  <c r="BE48" i="15"/>
  <c r="BE33" i="15"/>
  <c r="BE20" i="14"/>
  <c r="BE10" i="28" s="1"/>
  <c r="BE11" i="14"/>
  <c r="BE13" i="14" s="1"/>
  <c r="BM10" i="28" l="1"/>
  <c r="S10" i="30"/>
  <c r="AB10" i="29"/>
  <c r="BP10" i="19"/>
  <c r="BP50" i="15"/>
  <c r="BP51" i="15" s="1"/>
  <c r="BP35" i="15"/>
  <c r="H13" i="14"/>
  <c r="H10" i="19" s="1"/>
  <c r="AV51" i="15"/>
  <c r="BN10" i="19"/>
  <c r="BN50" i="15"/>
  <c r="BN51" i="15" s="1"/>
  <c r="BN35" i="15"/>
  <c r="BQ10" i="19"/>
  <c r="BQ50" i="15"/>
  <c r="BQ51" i="15" s="1"/>
  <c r="BQ35" i="15"/>
  <c r="AV35" i="15"/>
  <c r="AV10" i="19"/>
  <c r="AV50" i="15"/>
  <c r="AU10" i="19"/>
  <c r="AU50" i="15"/>
  <c r="AU51" i="15" s="1"/>
  <c r="AU35" i="15"/>
  <c r="BM10" i="19"/>
  <c r="BM50" i="15"/>
  <c r="BM51" i="15" s="1"/>
  <c r="BM35" i="15"/>
  <c r="J10" i="23"/>
  <c r="BO52" i="15"/>
  <c r="BO9" i="34" s="1"/>
  <c r="BO31" i="15"/>
  <c r="AU10" i="28"/>
  <c r="V10" i="29"/>
  <c r="BP10" i="28"/>
  <c r="AC10" i="29"/>
  <c r="AH52" i="15"/>
  <c r="AH31" i="15"/>
  <c r="AA52" i="15"/>
  <c r="AA31" i="15"/>
  <c r="Y16" i="31"/>
  <c r="Z11" i="17"/>
  <c r="AW52" i="15"/>
  <c r="AW31" i="15"/>
  <c r="BB52" i="15"/>
  <c r="BB31" i="15"/>
  <c r="R52" i="15"/>
  <c r="R9" i="34" s="1"/>
  <c r="R31" i="15"/>
  <c r="AR10" i="19"/>
  <c r="AR50" i="15"/>
  <c r="AR35" i="15"/>
  <c r="AA27" i="10"/>
  <c r="AA29" i="10" s="1"/>
  <c r="J14" i="28"/>
  <c r="J9" i="20"/>
  <c r="J10" i="20" s="1"/>
  <c r="J11" i="29"/>
  <c r="BI31" i="15"/>
  <c r="BI52" i="15"/>
  <c r="AS10" i="19"/>
  <c r="AS50" i="15"/>
  <c r="AS51" i="15" s="1"/>
  <c r="AS35" i="15"/>
  <c r="R82" i="20"/>
  <c r="BJ10" i="28"/>
  <c r="N10" i="23"/>
  <c r="R10" i="30"/>
  <c r="Z8" i="31"/>
  <c r="AA20" i="13"/>
  <c r="L10" i="23"/>
  <c r="X14" i="28"/>
  <c r="X19" i="28" s="1"/>
  <c r="X9" i="20"/>
  <c r="X10" i="20" s="1"/>
  <c r="AO10" i="28"/>
  <c r="T10" i="29"/>
  <c r="O10" i="30"/>
  <c r="AD52" i="15"/>
  <c r="AD9" i="34" s="1"/>
  <c r="AD31" i="15"/>
  <c r="Y18" i="28"/>
  <c r="T10" i="28"/>
  <c r="T11" i="28" s="1"/>
  <c r="M10" i="29"/>
  <c r="Z15" i="15"/>
  <c r="Z32" i="15"/>
  <c r="BK10" i="19"/>
  <c r="BK35" i="15"/>
  <c r="BK50" i="15"/>
  <c r="BK51" i="15" s="1"/>
  <c r="X10" i="19"/>
  <c r="X11" i="19" s="1"/>
  <c r="X22" i="19" s="1"/>
  <c r="X23" i="19" s="1"/>
  <c r="X50" i="15"/>
  <c r="X51" i="15" s="1"/>
  <c r="X35" i="15"/>
  <c r="S9" i="34"/>
  <c r="BD10" i="28"/>
  <c r="Y10" i="29"/>
  <c r="BE10" i="19"/>
  <c r="BE35" i="15"/>
  <c r="BE50" i="15"/>
  <c r="BE51" i="15" s="1"/>
  <c r="S82" i="20"/>
  <c r="R49" i="19"/>
  <c r="R30" i="19"/>
  <c r="Y48" i="18"/>
  <c r="Y34" i="18"/>
  <c r="Y35" i="18" s="1"/>
  <c r="Y13" i="18" s="1"/>
  <c r="Y15" i="18" s="1"/>
  <c r="Z17" i="34"/>
  <c r="Z27" i="17"/>
  <c r="AF28" i="17" s="1"/>
  <c r="Z12" i="17"/>
  <c r="P9" i="34"/>
  <c r="L14" i="28"/>
  <c r="L19" i="28" s="1"/>
  <c r="L9" i="20"/>
  <c r="L10" i="20" s="1"/>
  <c r="AL50" i="15"/>
  <c r="AL35" i="15"/>
  <c r="AL10" i="19"/>
  <c r="BD10" i="19"/>
  <c r="BD50" i="15"/>
  <c r="BD35" i="15"/>
  <c r="AQ9" i="34"/>
  <c r="BC9" i="34"/>
  <c r="AR10" i="28"/>
  <c r="U10" i="29"/>
  <c r="Y23" i="34"/>
  <c r="P20" i="20"/>
  <c r="P21" i="20" s="1"/>
  <c r="P34" i="20" s="1"/>
  <c r="P14" i="20"/>
  <c r="P15" i="20" s="1"/>
  <c r="U14" i="28"/>
  <c r="U19" i="28" s="1"/>
  <c r="U9" i="20"/>
  <c r="U10" i="20" s="1"/>
  <c r="Q10" i="30"/>
  <c r="W10" i="19"/>
  <c r="W11" i="19" s="1"/>
  <c r="W22" i="19" s="1"/>
  <c r="W23" i="19" s="1"/>
  <c r="W50" i="15"/>
  <c r="W35" i="15"/>
  <c r="K14" i="28"/>
  <c r="K19" i="28" s="1"/>
  <c r="K9" i="20"/>
  <c r="K10" i="20" s="1"/>
  <c r="AJ10" i="19"/>
  <c r="AJ50" i="15"/>
  <c r="AJ51" i="15" s="1"/>
  <c r="AJ35" i="15"/>
  <c r="AM10" i="19"/>
  <c r="AM35" i="15"/>
  <c r="AM50" i="15"/>
  <c r="Y17" i="28"/>
  <c r="Y19" i="28" s="1"/>
  <c r="BD51" i="15"/>
  <c r="BF9" i="34"/>
  <c r="AF10" i="19"/>
  <c r="AF50" i="15"/>
  <c r="AF51" i="15" s="1"/>
  <c r="AF35" i="15"/>
  <c r="AE9" i="34"/>
  <c r="Y22" i="34"/>
  <c r="P19" i="28"/>
  <c r="L14" i="29"/>
  <c r="U10" i="19"/>
  <c r="U11" i="19" s="1"/>
  <c r="U22" i="19" s="1"/>
  <c r="U23" i="19" s="1"/>
  <c r="U50" i="15"/>
  <c r="U51" i="15" s="1"/>
  <c r="U35" i="15"/>
  <c r="K10" i="19"/>
  <c r="K11" i="19" s="1"/>
  <c r="K22" i="19" s="1"/>
  <c r="K23" i="19" s="1"/>
  <c r="K50" i="15"/>
  <c r="K35" i="15"/>
  <c r="AL51" i="15"/>
  <c r="AA10" i="29"/>
  <c r="Y47" i="16"/>
  <c r="Y33" i="16"/>
  <c r="Y34" i="16" s="1"/>
  <c r="Y13" i="16" s="1"/>
  <c r="Y15" i="16" s="1"/>
  <c r="J22" i="19"/>
  <c r="J23" i="19" s="1"/>
  <c r="AT9" i="34"/>
  <c r="AR51" i="15"/>
  <c r="AF10" i="28"/>
  <c r="M10" i="30"/>
  <c r="Q10" i="29"/>
  <c r="N10" i="19"/>
  <c r="N11" i="19" s="1"/>
  <c r="N22" i="19" s="1"/>
  <c r="N23" i="19" s="1"/>
  <c r="N50" i="15"/>
  <c r="N51" i="15" s="1"/>
  <c r="N35" i="15"/>
  <c r="Q39" i="20"/>
  <c r="Q25" i="20"/>
  <c r="O14" i="28"/>
  <c r="O19" i="28" s="1"/>
  <c r="O9" i="20"/>
  <c r="O10" i="20" s="1"/>
  <c r="M20" i="20"/>
  <c r="M21" i="20" s="1"/>
  <c r="M34" i="20" s="1"/>
  <c r="M14" i="20"/>
  <c r="M15" i="20" s="1"/>
  <c r="BH52" i="15"/>
  <c r="BH9" i="34" s="1"/>
  <c r="BH31" i="15"/>
  <c r="Z29" i="15"/>
  <c r="Z10" i="12"/>
  <c r="Z11" i="12" s="1"/>
  <c r="K10" i="30"/>
  <c r="V14" i="20"/>
  <c r="V15" i="20" s="1"/>
  <c r="V20" i="20"/>
  <c r="V21" i="20" s="1"/>
  <c r="V34" i="20" s="1"/>
  <c r="W10" i="28"/>
  <c r="W11" i="28" s="1"/>
  <c r="N10" i="29"/>
  <c r="K10" i="23"/>
  <c r="L10" i="30"/>
  <c r="K51" i="15"/>
  <c r="J52" i="15"/>
  <c r="J31" i="15"/>
  <c r="J36" i="15" s="1"/>
  <c r="L9" i="35"/>
  <c r="O10" i="19"/>
  <c r="O11" i="19" s="1"/>
  <c r="O22" i="19" s="1"/>
  <c r="O23" i="19" s="1"/>
  <c r="O35" i="15"/>
  <c r="O50" i="15"/>
  <c r="N10" i="28"/>
  <c r="N11" i="28" s="1"/>
  <c r="K10" i="29"/>
  <c r="M9" i="34"/>
  <c r="AP10" i="19"/>
  <c r="AP50" i="15"/>
  <c r="AP51" i="15" s="1"/>
  <c r="AP35" i="15"/>
  <c r="O51" i="15"/>
  <c r="AB8" i="34"/>
  <c r="AB44" i="15"/>
  <c r="T10" i="19"/>
  <c r="T11" i="19" s="1"/>
  <c r="T22" i="19" s="1"/>
  <c r="T23" i="19" s="1"/>
  <c r="T50" i="15"/>
  <c r="T51" i="15" s="1"/>
  <c r="T35" i="15"/>
  <c r="M19" i="28"/>
  <c r="Z12" i="37"/>
  <c r="AA47" i="12"/>
  <c r="Z12" i="13"/>
  <c r="Z13" i="13" s="1"/>
  <c r="AX10" i="28"/>
  <c r="M10" i="23"/>
  <c r="P10" i="30"/>
  <c r="AY10" i="19"/>
  <c r="AY50" i="15"/>
  <c r="AY51" i="15" s="1"/>
  <c r="AY35" i="15"/>
  <c r="V19" i="28"/>
  <c r="W51" i="15"/>
  <c r="V9" i="34"/>
  <c r="AM51" i="15"/>
  <c r="Z8" i="28"/>
  <c r="Z11" i="28" s="1"/>
  <c r="Z19" i="16"/>
  <c r="Z21" i="16" s="1"/>
  <c r="Z26" i="11"/>
  <c r="Z27" i="11" s="1"/>
  <c r="Z10" i="31"/>
  <c r="AA41" i="15"/>
  <c r="H20" i="14"/>
  <c r="R14" i="20"/>
  <c r="R15" i="20" s="1"/>
  <c r="R20" i="20"/>
  <c r="R21" i="20" s="1"/>
  <c r="R34" i="20" s="1"/>
  <c r="H48" i="15"/>
  <c r="H11" i="14"/>
  <c r="H33" i="15"/>
  <c r="AG10" i="19"/>
  <c r="AG50" i="15"/>
  <c r="AG51" i="15" s="1"/>
  <c r="AG35" i="15"/>
  <c r="BJ50" i="15"/>
  <c r="BJ51" i="15" s="1"/>
  <c r="BJ35" i="15"/>
  <c r="BJ10" i="19"/>
  <c r="AF13" i="37"/>
  <c r="AF20" i="18"/>
  <c r="AF22" i="18" s="1"/>
  <c r="AF61" i="12"/>
  <c r="AF49" i="12"/>
  <c r="AX10" i="19"/>
  <c r="AX50" i="15"/>
  <c r="AX51" i="15" s="1"/>
  <c r="AX35" i="15"/>
  <c r="AK31" i="15"/>
  <c r="AK52" i="15"/>
  <c r="N10" i="30"/>
  <c r="AI10" i="19"/>
  <c r="AI50" i="15"/>
  <c r="AI51" i="15" s="1"/>
  <c r="AI35" i="15"/>
  <c r="AO10" i="19"/>
  <c r="AO35" i="15"/>
  <c r="AO50" i="15"/>
  <c r="AO51" i="15" s="1"/>
  <c r="L10" i="19"/>
  <c r="L11" i="19" s="1"/>
  <c r="L22" i="19" s="1"/>
  <c r="L23" i="19" s="1"/>
  <c r="L50" i="15"/>
  <c r="L51" i="15" s="1"/>
  <c r="L35" i="15"/>
  <c r="Y39" i="20"/>
  <c r="Y25" i="20"/>
  <c r="AB9" i="34"/>
  <c r="P9" i="35"/>
  <c r="S10" i="29"/>
  <c r="BL9" i="34"/>
  <c r="S25" i="20"/>
  <c r="S39" i="20"/>
  <c r="AN9" i="34"/>
  <c r="BQ52" i="15" l="1"/>
  <c r="BQ9" i="34" s="1"/>
  <c r="BQ31" i="15"/>
  <c r="AV52" i="15"/>
  <c r="AV9" i="34" s="1"/>
  <c r="AV31" i="15"/>
  <c r="BM52" i="15"/>
  <c r="BM31" i="15"/>
  <c r="AU52" i="15"/>
  <c r="AU31" i="15"/>
  <c r="H35" i="15"/>
  <c r="H50" i="15"/>
  <c r="BP31" i="15"/>
  <c r="BP52" i="15"/>
  <c r="BN52" i="15"/>
  <c r="BN9" i="34" s="1"/>
  <c r="BN31" i="15"/>
  <c r="AI31" i="15"/>
  <c r="AI52" i="15"/>
  <c r="AI9" i="34" s="1"/>
  <c r="L52" i="15"/>
  <c r="L9" i="34" s="1"/>
  <c r="L31" i="15"/>
  <c r="H51" i="15"/>
  <c r="H31" i="15" s="1"/>
  <c r="Y82" i="20"/>
  <c r="BJ52" i="15"/>
  <c r="BJ9" i="34" s="1"/>
  <c r="BJ31" i="15"/>
  <c r="BE31" i="15"/>
  <c r="BE52" i="15"/>
  <c r="BE9" i="34" s="1"/>
  <c r="AG52" i="15"/>
  <c r="AG9" i="34" s="1"/>
  <c r="AG31" i="15"/>
  <c r="AO52" i="15"/>
  <c r="AO31" i="15"/>
  <c r="AY52" i="15"/>
  <c r="AY9" i="34" s="1"/>
  <c r="AY31" i="15"/>
  <c r="AX52" i="15"/>
  <c r="AX31" i="15"/>
  <c r="N52" i="15"/>
  <c r="N31" i="15"/>
  <c r="BK52" i="15"/>
  <c r="BK9" i="34" s="1"/>
  <c r="BK31" i="15"/>
  <c r="Z9" i="35"/>
  <c r="L82" i="20"/>
  <c r="X30" i="19"/>
  <c r="X49" i="19"/>
  <c r="T14" i="28"/>
  <c r="T9" i="20"/>
  <c r="T10" i="20" s="1"/>
  <c r="M11" i="29"/>
  <c r="AA11" i="13"/>
  <c r="H10" i="30"/>
  <c r="H10" i="29"/>
  <c r="H10" i="28"/>
  <c r="H10" i="23"/>
  <c r="U31" i="15"/>
  <c r="U52" i="15"/>
  <c r="U9" i="34" s="1"/>
  <c r="M82" i="20"/>
  <c r="Y17" i="31"/>
  <c r="Z11" i="16"/>
  <c r="W14" i="28"/>
  <c r="W9" i="20"/>
  <c r="W10" i="20" s="1"/>
  <c r="N11" i="29"/>
  <c r="M25" i="20"/>
  <c r="M39" i="20"/>
  <c r="AL52" i="15"/>
  <c r="AL9" i="34" s="1"/>
  <c r="AL31" i="15"/>
  <c r="U49" i="19"/>
  <c r="U30" i="19"/>
  <c r="W30" i="19"/>
  <c r="W49" i="19"/>
  <c r="AF29" i="17"/>
  <c r="AF14" i="17"/>
  <c r="J19" i="28"/>
  <c r="J14" i="29"/>
  <c r="AW9" i="34"/>
  <c r="W9" i="35"/>
  <c r="AF21" i="34"/>
  <c r="AF12" i="18"/>
  <c r="N14" i="28"/>
  <c r="N9" i="20"/>
  <c r="N10" i="20" s="1"/>
  <c r="K11" i="29"/>
  <c r="J15" i="31"/>
  <c r="K28" i="15"/>
  <c r="N49" i="19"/>
  <c r="N30" i="19"/>
  <c r="AJ52" i="15"/>
  <c r="AJ9" i="34" s="1"/>
  <c r="AJ31" i="15"/>
  <c r="BD52" i="15"/>
  <c r="BD31" i="15"/>
  <c r="X52" i="15"/>
  <c r="X9" i="34" s="1"/>
  <c r="X31" i="15"/>
  <c r="BI9" i="34"/>
  <c r="AA9" i="35"/>
  <c r="Z40" i="17"/>
  <c r="Z41" i="17" s="1"/>
  <c r="Z14" i="31"/>
  <c r="AA24" i="11"/>
  <c r="Z19" i="34"/>
  <c r="Z12" i="16"/>
  <c r="Z26" i="16"/>
  <c r="AB27" i="16" s="1"/>
  <c r="O52" i="15"/>
  <c r="O9" i="34" s="1"/>
  <c r="O31" i="15"/>
  <c r="V25" i="20"/>
  <c r="V39" i="20"/>
  <c r="O20" i="20"/>
  <c r="O21" i="20" s="1"/>
  <c r="O34" i="20" s="1"/>
  <c r="O14" i="20"/>
  <c r="O15" i="20" s="1"/>
  <c r="U14" i="20"/>
  <c r="U15" i="20" s="1"/>
  <c r="U20" i="20"/>
  <c r="U21" i="20" s="1"/>
  <c r="U34" i="20" s="1"/>
  <c r="AA53" i="12"/>
  <c r="AA54" i="12" s="1"/>
  <c r="AA11" i="11"/>
  <c r="AA12" i="11" s="1"/>
  <c r="AA23" i="10"/>
  <c r="AA24" i="10" s="1"/>
  <c r="BB9" i="34"/>
  <c r="X9" i="35"/>
  <c r="Q9" i="36"/>
  <c r="L49" i="19"/>
  <c r="L30" i="19"/>
  <c r="Z9" i="20"/>
  <c r="Z10" i="20" s="1"/>
  <c r="AM52" i="15"/>
  <c r="AM9" i="34" s="1"/>
  <c r="AM31" i="15"/>
  <c r="T49" i="19"/>
  <c r="T30" i="19"/>
  <c r="J9" i="34"/>
  <c r="J12" i="34" s="1"/>
  <c r="O82" i="20"/>
  <c r="P82" i="20"/>
  <c r="U82" i="20"/>
  <c r="AS31" i="15"/>
  <c r="AS52" i="15"/>
  <c r="AS9" i="34" s="1"/>
  <c r="X20" i="20"/>
  <c r="X21" i="20" s="1"/>
  <c r="X34" i="20" s="1"/>
  <c r="X14" i="20"/>
  <c r="X15" i="20" s="1"/>
  <c r="J11" i="30"/>
  <c r="AK9" i="34"/>
  <c r="AP52" i="15"/>
  <c r="AP9" i="34" s="1"/>
  <c r="AP31" i="15"/>
  <c r="W52" i="15"/>
  <c r="W31" i="15"/>
  <c r="V82" i="20"/>
  <c r="Z29" i="13"/>
  <c r="Z31" i="13" s="1"/>
  <c r="Z14" i="13"/>
  <c r="O30" i="19"/>
  <c r="O49" i="19"/>
  <c r="K52" i="15"/>
  <c r="K9" i="34" s="1"/>
  <c r="K31" i="15"/>
  <c r="Z9" i="19"/>
  <c r="Z11" i="19" s="1"/>
  <c r="Z22" i="19" s="1"/>
  <c r="Z23" i="19" s="1"/>
  <c r="Z30" i="15"/>
  <c r="AF52" i="15"/>
  <c r="AF31" i="15"/>
  <c r="J49" i="19"/>
  <c r="J51" i="19" s="1"/>
  <c r="J30" i="19"/>
  <c r="J32" i="19" s="1"/>
  <c r="K30" i="19"/>
  <c r="K49" i="19"/>
  <c r="K20" i="20"/>
  <c r="K21" i="20" s="1"/>
  <c r="K34" i="20" s="1"/>
  <c r="K14" i="20"/>
  <c r="K15" i="20" s="1"/>
  <c r="P39" i="20"/>
  <c r="P25" i="20"/>
  <c r="Z14" i="34"/>
  <c r="X82" i="20"/>
  <c r="AA9" i="34"/>
  <c r="O9" i="35"/>
  <c r="AA25" i="12"/>
  <c r="Y18" i="31"/>
  <c r="Z11" i="18"/>
  <c r="N9" i="25"/>
  <c r="K82" i="20"/>
  <c r="Y25" i="34"/>
  <c r="J11" i="23"/>
  <c r="T52" i="15"/>
  <c r="T31" i="15"/>
  <c r="R39" i="20"/>
  <c r="R25" i="20"/>
  <c r="AR52" i="15"/>
  <c r="AR31" i="15"/>
  <c r="Y24" i="34"/>
  <c r="R9" i="36"/>
  <c r="L20" i="20"/>
  <c r="L21" i="20" s="1"/>
  <c r="L34" i="20" s="1"/>
  <c r="L14" i="20"/>
  <c r="L15" i="20" s="1"/>
  <c r="J14" i="20"/>
  <c r="J15" i="20" s="1"/>
  <c r="J20" i="20"/>
  <c r="J21" i="20" s="1"/>
  <c r="AH9" i="34"/>
  <c r="R9" i="35"/>
  <c r="N9" i="36"/>
  <c r="L9" i="25"/>
  <c r="AU9" i="34" l="1"/>
  <c r="V9" i="35"/>
  <c r="S9" i="35"/>
  <c r="BM9" i="34"/>
  <c r="AB9" i="35"/>
  <c r="S9" i="36"/>
  <c r="BP9" i="34"/>
  <c r="AC9" i="35"/>
  <c r="Z49" i="19"/>
  <c r="Z30" i="19"/>
  <c r="U25" i="20"/>
  <c r="U39" i="20"/>
  <c r="J82" i="20"/>
  <c r="J19" i="29"/>
  <c r="W19" i="28"/>
  <c r="N14" i="29"/>
  <c r="T19" i="28"/>
  <c r="M14" i="29"/>
  <c r="K14" i="30"/>
  <c r="AO9" i="34"/>
  <c r="T9" i="35"/>
  <c r="O9" i="36"/>
  <c r="J9" i="35"/>
  <c r="O39" i="20"/>
  <c r="O25" i="20"/>
  <c r="BD9" i="34"/>
  <c r="Y9" i="35"/>
  <c r="N14" i="20"/>
  <c r="N15" i="20" s="1"/>
  <c r="N20" i="20"/>
  <c r="N21" i="20" s="1"/>
  <c r="N34" i="20" s="1"/>
  <c r="Z39" i="16"/>
  <c r="Z40" i="16" s="1"/>
  <c r="J9" i="36"/>
  <c r="N19" i="28"/>
  <c r="J19" i="30" s="1"/>
  <c r="K14" i="29"/>
  <c r="N9" i="34"/>
  <c r="K9" i="35"/>
  <c r="J19" i="31"/>
  <c r="K29" i="19"/>
  <c r="J9" i="25"/>
  <c r="AB14" i="16"/>
  <c r="AB28" i="16"/>
  <c r="Z42" i="17"/>
  <c r="Z46" i="17"/>
  <c r="Z47" i="17" s="1"/>
  <c r="Z33" i="17"/>
  <c r="AF18" i="34"/>
  <c r="J36" i="19"/>
  <c r="K37" i="19" s="1"/>
  <c r="X39" i="20"/>
  <c r="X25" i="20"/>
  <c r="H52" i="15"/>
  <c r="AA10" i="37"/>
  <c r="AA24" i="12"/>
  <c r="AA26" i="12" s="1"/>
  <c r="AA31" i="12" s="1"/>
  <c r="AA33" i="12" s="1"/>
  <c r="AB20" i="10"/>
  <c r="O10" i="38"/>
  <c r="L10" i="39"/>
  <c r="AX9" i="34"/>
  <c r="M9" i="25"/>
  <c r="P9" i="36"/>
  <c r="Z13" i="28"/>
  <c r="Z14" i="28" s="1"/>
  <c r="J15" i="34"/>
  <c r="Z20" i="20"/>
  <c r="Z21" i="20" s="1"/>
  <c r="Z34" i="20" s="1"/>
  <c r="Z14" i="20"/>
  <c r="Z15" i="20" s="1"/>
  <c r="AA16" i="19"/>
  <c r="AA17" i="19" s="1"/>
  <c r="AA42" i="15"/>
  <c r="AA20" i="15"/>
  <c r="AA25" i="11"/>
  <c r="J14" i="23"/>
  <c r="T9" i="34"/>
  <c r="M9" i="35"/>
  <c r="K9" i="36"/>
  <c r="J34" i="20"/>
  <c r="Z27" i="18"/>
  <c r="Z28" i="18" s="1"/>
  <c r="Z40" i="18"/>
  <c r="Z41" i="18" s="1"/>
  <c r="J25" i="20"/>
  <c r="J27" i="20" s="1"/>
  <c r="J39" i="20"/>
  <c r="K25" i="20"/>
  <c r="K27" i="20" s="1"/>
  <c r="K39" i="20"/>
  <c r="AF9" i="34"/>
  <c r="M9" i="36"/>
  <c r="Q9" i="35"/>
  <c r="Z32" i="13"/>
  <c r="Z9" i="31" s="1"/>
  <c r="AA28" i="13"/>
  <c r="W9" i="34"/>
  <c r="K9" i="25"/>
  <c r="N9" i="35"/>
  <c r="L9" i="36"/>
  <c r="AA16" i="37"/>
  <c r="AA71" i="12"/>
  <c r="AA73" i="12" s="1"/>
  <c r="AA63" i="12"/>
  <c r="AA65" i="12" s="1"/>
  <c r="L16" i="39"/>
  <c r="O16" i="38"/>
  <c r="K36" i="15"/>
  <c r="J14" i="30"/>
  <c r="L39" i="20"/>
  <c r="L25" i="20"/>
  <c r="AR9" i="34"/>
  <c r="U9" i="35"/>
  <c r="W20" i="20"/>
  <c r="W21" i="20" s="1"/>
  <c r="W34" i="20" s="1"/>
  <c r="W14" i="20"/>
  <c r="W15" i="20" s="1"/>
  <c r="T14" i="20"/>
  <c r="T15" i="20" s="1"/>
  <c r="T20" i="20"/>
  <c r="T21" i="20" s="1"/>
  <c r="T34" i="20" s="1"/>
  <c r="K15" i="31" l="1"/>
  <c r="L28" i="15"/>
  <c r="L36" i="15" s="1"/>
  <c r="Z46" i="18"/>
  <c r="Z47" i="18" s="1"/>
  <c r="Z42" i="18"/>
  <c r="Z33" i="18"/>
  <c r="K48" i="19"/>
  <c r="K51" i="19" s="1"/>
  <c r="T82" i="20"/>
  <c r="M19" i="29"/>
  <c r="Z29" i="18"/>
  <c r="Z14" i="18"/>
  <c r="K38" i="19"/>
  <c r="K31" i="19"/>
  <c r="K32" i="19" s="1"/>
  <c r="Z34" i="17"/>
  <c r="Z35" i="17" s="1"/>
  <c r="Z13" i="17" s="1"/>
  <c r="Z15" i="17" s="1"/>
  <c r="Z48" i="17"/>
  <c r="Z16" i="28"/>
  <c r="K40" i="20"/>
  <c r="K41" i="20" s="1"/>
  <c r="K46" i="20" s="1"/>
  <c r="K47" i="20" s="1"/>
  <c r="K35" i="20"/>
  <c r="K36" i="20" s="1"/>
  <c r="L33" i="20" s="1"/>
  <c r="AB28" i="10"/>
  <c r="AB20" i="34"/>
  <c r="Z45" i="16"/>
  <c r="Z46" i="16" s="1"/>
  <c r="Z32" i="16"/>
  <c r="Z41" i="16"/>
  <c r="J26" i="34"/>
  <c r="AA11" i="37"/>
  <c r="AA20" i="17"/>
  <c r="AA22" i="17" s="1"/>
  <c r="AA13" i="15"/>
  <c r="AA14" i="15" s="1"/>
  <c r="AA21" i="13"/>
  <c r="AA23" i="13" s="1"/>
  <c r="AA39" i="12"/>
  <c r="AG41" i="12" s="1"/>
  <c r="AA48" i="12"/>
  <c r="AA50" i="12" s="1"/>
  <c r="AA17" i="9"/>
  <c r="AA18" i="9" s="1"/>
  <c r="O11" i="38"/>
  <c r="L11" i="39"/>
  <c r="W82" i="20"/>
  <c r="N19" i="29"/>
  <c r="T39" i="20"/>
  <c r="T25" i="20"/>
  <c r="AA21" i="19"/>
  <c r="AA43" i="15"/>
  <c r="AA45" i="15" s="1"/>
  <c r="AA21" i="15"/>
  <c r="AC22" i="15" s="1"/>
  <c r="N39" i="20"/>
  <c r="N25" i="20"/>
  <c r="W39" i="20"/>
  <c r="W25" i="20"/>
  <c r="AA15" i="37"/>
  <c r="AB60" i="12"/>
  <c r="O15" i="38"/>
  <c r="L15" i="39"/>
  <c r="J35" i="20"/>
  <c r="J40" i="20"/>
  <c r="Z39" i="20"/>
  <c r="Z25" i="20"/>
  <c r="H9" i="36"/>
  <c r="H9" i="35"/>
  <c r="H9" i="34"/>
  <c r="H9" i="25"/>
  <c r="J41" i="20"/>
  <c r="AA17" i="37"/>
  <c r="AB70" i="12"/>
  <c r="AA17" i="11"/>
  <c r="AA18" i="11" s="1"/>
  <c r="O17" i="38"/>
  <c r="L17" i="39"/>
  <c r="N82" i="20"/>
  <c r="K19" i="29"/>
  <c r="J19" i="23"/>
  <c r="K76" i="20" l="1"/>
  <c r="K81" i="20"/>
  <c r="K48" i="20"/>
  <c r="K21" i="28" s="1"/>
  <c r="K22" i="28" s="1"/>
  <c r="K37" i="9" s="1"/>
  <c r="Z16" i="31"/>
  <c r="AA11" i="17"/>
  <c r="AC8" i="34"/>
  <c r="AC44" i="15"/>
  <c r="AA10" i="31"/>
  <c r="AB41" i="15"/>
  <c r="O10" i="32"/>
  <c r="L10" i="33"/>
  <c r="K19" i="31"/>
  <c r="L29" i="19"/>
  <c r="AA32" i="15"/>
  <c r="AA15" i="15"/>
  <c r="AA17" i="34"/>
  <c r="AA27" i="17"/>
  <c r="AG28" i="17" s="1"/>
  <c r="AA12" i="17"/>
  <c r="O17" i="35"/>
  <c r="L17" i="36"/>
  <c r="AA8" i="28"/>
  <c r="AA11" i="28" s="1"/>
  <c r="AA19" i="16"/>
  <c r="AA21" i="16" s="1"/>
  <c r="AA26" i="11"/>
  <c r="AA27" i="11" s="1"/>
  <c r="L8" i="30"/>
  <c r="O8" i="29"/>
  <c r="Z17" i="28"/>
  <c r="Z18" i="28"/>
  <c r="K10" i="34"/>
  <c r="Z48" i="18"/>
  <c r="Z34" i="18"/>
  <c r="Z35" i="18" s="1"/>
  <c r="Z13" i="18" s="1"/>
  <c r="Z15" i="18" s="1"/>
  <c r="AA29" i="15"/>
  <c r="AA10" i="12"/>
  <c r="AA11" i="12" s="1"/>
  <c r="Z47" i="16"/>
  <c r="Z33" i="16"/>
  <c r="Z34" i="16" s="1"/>
  <c r="Z13" i="16" s="1"/>
  <c r="Z15" i="16" s="1"/>
  <c r="L26" i="20"/>
  <c r="L27" i="20" s="1"/>
  <c r="K36" i="19"/>
  <c r="L37" i="19" s="1"/>
  <c r="L15" i="31"/>
  <c r="M28" i="15"/>
  <c r="M36" i="15" s="1"/>
  <c r="J15" i="32"/>
  <c r="AB27" i="10"/>
  <c r="AB29" i="10" s="1"/>
  <c r="AA12" i="37"/>
  <c r="AB47" i="12"/>
  <c r="AA12" i="13"/>
  <c r="AA13" i="13" s="1"/>
  <c r="L12" i="39"/>
  <c r="O12" i="38"/>
  <c r="J46" i="20"/>
  <c r="J47" i="20" s="1"/>
  <c r="AG13" i="37"/>
  <c r="AG20" i="18"/>
  <c r="AG22" i="18" s="1"/>
  <c r="AG61" i="12"/>
  <c r="AG49" i="12"/>
  <c r="K13" i="26"/>
  <c r="Q13" i="38"/>
  <c r="M13" i="39"/>
  <c r="Z22" i="34"/>
  <c r="AA8" i="31"/>
  <c r="AB20" i="13"/>
  <c r="L8" i="33"/>
  <c r="O8" i="32"/>
  <c r="J29" i="34"/>
  <c r="Z23" i="34"/>
  <c r="Z18" i="31" l="1"/>
  <c r="AA11" i="18"/>
  <c r="Z17" i="31"/>
  <c r="AA11" i="16"/>
  <c r="AB53" i="12"/>
  <c r="AB54" i="12" s="1"/>
  <c r="AB11" i="11"/>
  <c r="AB12" i="11" s="1"/>
  <c r="AB23" i="10"/>
  <c r="AB24" i="10" s="1"/>
  <c r="Z24" i="34"/>
  <c r="AA14" i="31"/>
  <c r="AB24" i="11"/>
  <c r="O14" i="32"/>
  <c r="L14" i="33"/>
  <c r="AA9" i="19"/>
  <c r="AA11" i="19" s="1"/>
  <c r="AA30" i="15"/>
  <c r="AA19" i="34"/>
  <c r="AA26" i="16"/>
  <c r="AC27" i="16" s="1"/>
  <c r="AA12" i="16"/>
  <c r="O19" i="35"/>
  <c r="L19" i="36"/>
  <c r="AG29" i="17"/>
  <c r="AG14" i="17"/>
  <c r="AA40" i="17"/>
  <c r="AA41" i="17" s="1"/>
  <c r="M15" i="31"/>
  <c r="N28" i="15"/>
  <c r="N36" i="15" s="1"/>
  <c r="AB11" i="13"/>
  <c r="AA29" i="13"/>
  <c r="AA31" i="13" s="1"/>
  <c r="AA14" i="13"/>
  <c r="AA9" i="20"/>
  <c r="AA10" i="20" s="1"/>
  <c r="L11" i="30"/>
  <c r="O11" i="29"/>
  <c r="AA14" i="34"/>
  <c r="L14" i="36"/>
  <c r="O14" i="35"/>
  <c r="AB25" i="12"/>
  <c r="L38" i="19"/>
  <c r="L31" i="19"/>
  <c r="L32" i="19" s="1"/>
  <c r="Z19" i="28"/>
  <c r="J48" i="20"/>
  <c r="J81" i="20"/>
  <c r="J76" i="20"/>
  <c r="J78" i="20" s="1"/>
  <c r="Z25" i="34"/>
  <c r="J12" i="9"/>
  <c r="J13" i="9" s="1"/>
  <c r="AG21" i="34"/>
  <c r="AG12" i="18"/>
  <c r="Q21" i="35"/>
  <c r="K21" i="25"/>
  <c r="M21" i="36"/>
  <c r="L40" i="20"/>
  <c r="L41" i="20" s="1"/>
  <c r="L35" i="20"/>
  <c r="L36" i="20" s="1"/>
  <c r="M33" i="20" s="1"/>
  <c r="L48" i="19"/>
  <c r="L51" i="19" s="1"/>
  <c r="J21" i="28" l="1"/>
  <c r="J22" i="28" s="1"/>
  <c r="AB10" i="37"/>
  <c r="AB24" i="12"/>
  <c r="AB26" i="12" s="1"/>
  <c r="AB31" i="12" s="1"/>
  <c r="AB33" i="12" s="1"/>
  <c r="AC20" i="10"/>
  <c r="AB16" i="19"/>
  <c r="AB17" i="19" s="1"/>
  <c r="AB42" i="15"/>
  <c r="AB20" i="15"/>
  <c r="AB25" i="11"/>
  <c r="AB16" i="37"/>
  <c r="AB63" i="12"/>
  <c r="AB65" i="12" s="1"/>
  <c r="AB71" i="12"/>
  <c r="AB73" i="12" s="1"/>
  <c r="J11" i="31"/>
  <c r="J12" i="31" s="1"/>
  <c r="J22" i="9" s="1"/>
  <c r="J9" i="8"/>
  <c r="K11" i="9"/>
  <c r="L36" i="19"/>
  <c r="M37" i="19" s="1"/>
  <c r="AC14" i="16"/>
  <c r="AC28" i="16"/>
  <c r="AA39" i="16"/>
  <c r="AA40" i="16" s="1"/>
  <c r="N15" i="31"/>
  <c r="O28" i="15"/>
  <c r="O36" i="15" s="1"/>
  <c r="L19" i="31"/>
  <c r="M29" i="19"/>
  <c r="J19" i="32"/>
  <c r="L10" i="34"/>
  <c r="J10" i="35"/>
  <c r="AA46" i="17"/>
  <c r="AA47" i="17" s="1"/>
  <c r="AA42" i="17"/>
  <c r="AA33" i="17"/>
  <c r="M26" i="20"/>
  <c r="M27" i="20" s="1"/>
  <c r="J20" i="31"/>
  <c r="J21" i="31" s="1"/>
  <c r="J23" i="9" s="1"/>
  <c r="K75" i="20"/>
  <c r="AA13" i="28"/>
  <c r="AA14" i="28" s="1"/>
  <c r="O13" i="29"/>
  <c r="L13" i="30"/>
  <c r="AA27" i="18"/>
  <c r="AA28" i="18" s="1"/>
  <c r="AA40" i="18"/>
  <c r="AA41" i="18" s="1"/>
  <c r="Z82" i="20"/>
  <c r="AA20" i="20"/>
  <c r="AA21" i="20" s="1"/>
  <c r="AA14" i="20"/>
  <c r="AA15" i="20" s="1"/>
  <c r="L46" i="20"/>
  <c r="L47" i="20" s="1"/>
  <c r="AA32" i="13"/>
  <c r="AB28" i="13"/>
  <c r="AG18" i="34"/>
  <c r="Q18" i="35"/>
  <c r="K18" i="25"/>
  <c r="M18" i="36"/>
  <c r="AA22" i="19"/>
  <c r="AA23" i="19" s="1"/>
  <c r="K66" i="20" l="1"/>
  <c r="K68" i="20" s="1"/>
  <c r="AB11" i="37"/>
  <c r="AB20" i="17"/>
  <c r="AB22" i="17" s="1"/>
  <c r="AB13" i="15"/>
  <c r="AB14" i="15" s="1"/>
  <c r="AB21" i="13"/>
  <c r="AB23" i="13" s="1"/>
  <c r="AB48" i="12"/>
  <c r="AB50" i="12" s="1"/>
  <c r="AB39" i="12"/>
  <c r="AH41" i="12" s="1"/>
  <c r="AB17" i="9"/>
  <c r="AB18" i="9" s="1"/>
  <c r="AA34" i="20"/>
  <c r="AA42" i="18"/>
  <c r="AA33" i="18"/>
  <c r="AA46" i="18"/>
  <c r="AA47" i="18" s="1"/>
  <c r="AA41" i="16"/>
  <c r="AA45" i="16"/>
  <c r="AA46" i="16" s="1"/>
  <c r="AA32" i="16"/>
  <c r="J24" i="9"/>
  <c r="AA39" i="20"/>
  <c r="AA25" i="20"/>
  <c r="AA14" i="18"/>
  <c r="AA29" i="18"/>
  <c r="M40" i="20"/>
  <c r="M41" i="20" s="1"/>
  <c r="M35" i="20"/>
  <c r="M36" i="20" s="1"/>
  <c r="N33" i="20" s="1"/>
  <c r="AC20" i="34"/>
  <c r="AD22" i="15"/>
  <c r="AA16" i="28"/>
  <c r="O16" i="29"/>
  <c r="M48" i="19"/>
  <c r="M51" i="19" s="1"/>
  <c r="AA48" i="17"/>
  <c r="AA34" i="17"/>
  <c r="AA35" i="17" s="1"/>
  <c r="AA13" i="17" s="1"/>
  <c r="AA15" i="17" s="1"/>
  <c r="AB17" i="37"/>
  <c r="AC70" i="12"/>
  <c r="AB17" i="11"/>
  <c r="AB18" i="11" s="1"/>
  <c r="AB21" i="19"/>
  <c r="AB43" i="15"/>
  <c r="AB45" i="15" s="1"/>
  <c r="AB21" i="15"/>
  <c r="AA9" i="31"/>
  <c r="L9" i="33"/>
  <c r="O9" i="32"/>
  <c r="AA30" i="19"/>
  <c r="AA49" i="19"/>
  <c r="L81" i="20"/>
  <c r="L76" i="20"/>
  <c r="L48" i="20"/>
  <c r="O14" i="29"/>
  <c r="L14" i="30"/>
  <c r="O15" i="31"/>
  <c r="P28" i="15"/>
  <c r="P36" i="15" s="1"/>
  <c r="K15" i="32"/>
  <c r="J15" i="33"/>
  <c r="M38" i="19"/>
  <c r="M31" i="19"/>
  <c r="M32" i="19" s="1"/>
  <c r="AB15" i="37"/>
  <c r="AC60" i="12"/>
  <c r="AC28" i="10"/>
  <c r="J37" i="9"/>
  <c r="J38" i="9" s="1"/>
  <c r="AA16" i="31" l="1"/>
  <c r="AB11" i="17"/>
  <c r="L16" i="33"/>
  <c r="O16" i="32"/>
  <c r="M19" i="31"/>
  <c r="N29" i="19"/>
  <c r="AB10" i="31"/>
  <c r="AC41" i="15"/>
  <c r="J23" i="31"/>
  <c r="J15" i="22"/>
  <c r="AB8" i="31"/>
  <c r="AC20" i="13"/>
  <c r="AD8" i="34"/>
  <c r="AD44" i="15"/>
  <c r="P8" i="35"/>
  <c r="N26" i="20"/>
  <c r="N27" i="20" s="1"/>
  <c r="AB15" i="15"/>
  <c r="AB32" i="15"/>
  <c r="M46" i="20"/>
  <c r="M47" i="20" s="1"/>
  <c r="AA47" i="16"/>
  <c r="AA33" i="16"/>
  <c r="AA34" i="16" s="1"/>
  <c r="AA13" i="16" s="1"/>
  <c r="AA15" i="16" s="1"/>
  <c r="AB17" i="34"/>
  <c r="AB27" i="17"/>
  <c r="AH28" i="17" s="1"/>
  <c r="AB12" i="17"/>
  <c r="AC27" i="10"/>
  <c r="AC29" i="10" s="1"/>
  <c r="AA23" i="34"/>
  <c r="O23" i="35"/>
  <c r="AA17" i="28"/>
  <c r="O17" i="29"/>
  <c r="P15" i="31"/>
  <c r="Q28" i="15"/>
  <c r="Q36" i="15" s="1"/>
  <c r="AA48" i="18"/>
  <c r="AA34" i="18"/>
  <c r="AA35" i="18"/>
  <c r="AA13" i="18" s="1"/>
  <c r="AA15" i="18" s="1"/>
  <c r="AB29" i="15"/>
  <c r="AB10" i="12"/>
  <c r="AB11" i="12" s="1"/>
  <c r="L21" i="28"/>
  <c r="L22" i="28" s="1"/>
  <c r="J21" i="29"/>
  <c r="AA22" i="34"/>
  <c r="O22" i="35"/>
  <c r="AB8" i="28"/>
  <c r="AB11" i="28" s="1"/>
  <c r="AB19" i="16"/>
  <c r="AB21" i="16" s="1"/>
  <c r="AB26" i="11"/>
  <c r="AB27" i="11" s="1"/>
  <c r="M36" i="19"/>
  <c r="N37" i="19" s="1"/>
  <c r="AA18" i="28"/>
  <c r="O18" i="29"/>
  <c r="AH13" i="37"/>
  <c r="AH20" i="18"/>
  <c r="AH22" i="18" s="1"/>
  <c r="AH61" i="12"/>
  <c r="AH49" i="12"/>
  <c r="J25" i="31"/>
  <c r="J28" i="9"/>
  <c r="J30" i="9" s="1"/>
  <c r="K36" i="9"/>
  <c r="K38" i="9" s="1"/>
  <c r="M10" i="34"/>
  <c r="AB12" i="37"/>
  <c r="AB12" i="13"/>
  <c r="AB13" i="13" s="1"/>
  <c r="AC47" i="12"/>
  <c r="K77" i="20"/>
  <c r="K78" i="20" s="1"/>
  <c r="K69" i="20"/>
  <c r="AA19" i="28" l="1"/>
  <c r="AB9" i="19"/>
  <c r="AB11" i="19" s="1"/>
  <c r="AB30" i="15"/>
  <c r="AC53" i="12"/>
  <c r="AC54" i="12" s="1"/>
  <c r="AC11" i="11"/>
  <c r="AC12" i="11" s="1"/>
  <c r="AC23" i="10"/>
  <c r="AC24" i="10" s="1"/>
  <c r="M76" i="20"/>
  <c r="M81" i="20"/>
  <c r="M48" i="20"/>
  <c r="AA18" i="31"/>
  <c r="AB11" i="18"/>
  <c r="L18" i="33"/>
  <c r="O18" i="32"/>
  <c r="N48" i="19"/>
  <c r="N51" i="19" s="1"/>
  <c r="K11" i="34"/>
  <c r="K12" i="34" s="1"/>
  <c r="K20" i="31"/>
  <c r="K21" i="31" s="1"/>
  <c r="K23" i="9" s="1"/>
  <c r="L75" i="20"/>
  <c r="AA82" i="20"/>
  <c r="O19" i="29"/>
  <c r="L19" i="30"/>
  <c r="AH14" i="17"/>
  <c r="AH29" i="17"/>
  <c r="AB14" i="34"/>
  <c r="AC11" i="13"/>
  <c r="AB29" i="13"/>
  <c r="AB31" i="13" s="1"/>
  <c r="AB14" i="13"/>
  <c r="AA17" i="31"/>
  <c r="AB11" i="16"/>
  <c r="L17" i="33"/>
  <c r="O17" i="32"/>
  <c r="N31" i="19"/>
  <c r="N32" i="19" s="1"/>
  <c r="N38" i="19"/>
  <c r="AC25" i="12"/>
  <c r="K25" i="31"/>
  <c r="K28" i="9"/>
  <c r="K30" i="9" s="1"/>
  <c r="L36" i="9"/>
  <c r="J27" i="31"/>
  <c r="J16" i="22"/>
  <c r="AB14" i="31"/>
  <c r="AC24" i="11"/>
  <c r="AB19" i="34"/>
  <c r="AB12" i="16"/>
  <c r="AB26" i="16"/>
  <c r="AD27" i="16" s="1"/>
  <c r="AA25" i="34"/>
  <c r="O25" i="35"/>
  <c r="J17" i="22"/>
  <c r="J21" i="22" s="1"/>
  <c r="AB40" i="17"/>
  <c r="AB41" i="17" s="1"/>
  <c r="Q15" i="31"/>
  <c r="R28" i="15"/>
  <c r="R36" i="15" s="1"/>
  <c r="AH21" i="34"/>
  <c r="AH12" i="18"/>
  <c r="AB9" i="20"/>
  <c r="AB10" i="20" s="1"/>
  <c r="L37" i="9"/>
  <c r="J22" i="29"/>
  <c r="AA24" i="34"/>
  <c r="O24" i="35"/>
  <c r="N35" i="20"/>
  <c r="N36" i="20" s="1"/>
  <c r="O33" i="20" s="1"/>
  <c r="N40" i="20"/>
  <c r="N41" i="20" s="1"/>
  <c r="N19" i="31" l="1"/>
  <c r="O29" i="19"/>
  <c r="N36" i="19"/>
  <c r="O37" i="19" s="1"/>
  <c r="R15" i="31"/>
  <c r="S28" i="15"/>
  <c r="S36" i="15" s="1"/>
  <c r="L38" i="9"/>
  <c r="AD14" i="16"/>
  <c r="AD28" i="16"/>
  <c r="AC10" i="37"/>
  <c r="AD20" i="10"/>
  <c r="AC24" i="12"/>
  <c r="AC26" i="12" s="1"/>
  <c r="AC31" i="12" s="1"/>
  <c r="AC33" i="12" s="1"/>
  <c r="AB46" i="17"/>
  <c r="AB47" i="17" s="1"/>
  <c r="AB33" i="17"/>
  <c r="AB42" i="17"/>
  <c r="AB39" i="16"/>
  <c r="AB40" i="16" s="1"/>
  <c r="AB27" i="18"/>
  <c r="AB28" i="18" s="1"/>
  <c r="AB40" i="18"/>
  <c r="AB41" i="18" s="1"/>
  <c r="AC16" i="19"/>
  <c r="AC17" i="19" s="1"/>
  <c r="AC42" i="15"/>
  <c r="AC20" i="15"/>
  <c r="AC25" i="11"/>
  <c r="K27" i="31"/>
  <c r="K16" i="22"/>
  <c r="AC16" i="37"/>
  <c r="AC71" i="12"/>
  <c r="AC73" i="12" s="1"/>
  <c r="AC63" i="12"/>
  <c r="AC65" i="12" s="1"/>
  <c r="O26" i="20"/>
  <c r="O27" i="20" s="1"/>
  <c r="AB13" i="28"/>
  <c r="AB14" i="28" s="1"/>
  <c r="AH18" i="34"/>
  <c r="L66" i="20"/>
  <c r="L68" i="20" s="1"/>
  <c r="K15" i="34"/>
  <c r="AB14" i="20"/>
  <c r="AB15" i="20" s="1"/>
  <c r="AB20" i="20"/>
  <c r="AB21" i="20" s="1"/>
  <c r="N46" i="20"/>
  <c r="N47" i="20" s="1"/>
  <c r="N10" i="34"/>
  <c r="AB32" i="13"/>
  <c r="AB9" i="31" s="1"/>
  <c r="AC28" i="13"/>
  <c r="M21" i="28"/>
  <c r="M22" i="28" s="1"/>
  <c r="AB22" i="19"/>
  <c r="AB23" i="19" s="1"/>
  <c r="AC17" i="37" l="1"/>
  <c r="AD70" i="12"/>
  <c r="AC17" i="11"/>
  <c r="AC18" i="11" s="1"/>
  <c r="AE22" i="15"/>
  <c r="AB16" i="28"/>
  <c r="L25" i="31"/>
  <c r="M36" i="9"/>
  <c r="L28" i="9"/>
  <c r="L30" i="9" s="1"/>
  <c r="J25" i="32"/>
  <c r="S15" i="31"/>
  <c r="T28" i="15"/>
  <c r="T36" i="15" s="1"/>
  <c r="AB34" i="20"/>
  <c r="AB39" i="20"/>
  <c r="AB25" i="20"/>
  <c r="AC21" i="19"/>
  <c r="AC43" i="15"/>
  <c r="AC45" i="15" s="1"/>
  <c r="AC21" i="15"/>
  <c r="AB48" i="17"/>
  <c r="AB34" i="17"/>
  <c r="AB35" i="17" s="1"/>
  <c r="AB13" i="17" s="1"/>
  <c r="AB15" i="17" s="1"/>
  <c r="O40" i="20"/>
  <c r="O41" i="20" s="1"/>
  <c r="O35" i="20"/>
  <c r="O36" i="20" s="1"/>
  <c r="P33" i="20" s="1"/>
  <c r="AC11" i="37"/>
  <c r="AC20" i="17"/>
  <c r="AC22" i="17" s="1"/>
  <c r="AC13" i="15"/>
  <c r="AC14" i="15" s="1"/>
  <c r="AC39" i="12"/>
  <c r="AI41" i="12" s="1"/>
  <c r="AC21" i="13"/>
  <c r="AC23" i="13" s="1"/>
  <c r="AC48" i="12"/>
  <c r="AC50" i="12" s="1"/>
  <c r="AC17" i="9"/>
  <c r="AC18" i="9" s="1"/>
  <c r="AB46" i="18"/>
  <c r="AB47" i="18" s="1"/>
  <c r="AB33" i="18"/>
  <c r="AB42" i="18"/>
  <c r="AD28" i="10"/>
  <c r="AB49" i="19"/>
  <c r="AB30" i="19"/>
  <c r="AB14" i="18"/>
  <c r="AB29" i="18"/>
  <c r="O31" i="19"/>
  <c r="O32" i="19" s="1"/>
  <c r="O38" i="19"/>
  <c r="O10" i="34" s="1"/>
  <c r="N76" i="20"/>
  <c r="N81" i="20"/>
  <c r="N48" i="20"/>
  <c r="AD20" i="34"/>
  <c r="P20" i="35"/>
  <c r="O48" i="19"/>
  <c r="O51" i="19" s="1"/>
  <c r="O36" i="19" s="1"/>
  <c r="P37" i="19" s="1"/>
  <c r="L77" i="20"/>
  <c r="L78" i="20" s="1"/>
  <c r="L69" i="20"/>
  <c r="M37" i="9"/>
  <c r="K26" i="34"/>
  <c r="AC15" i="37"/>
  <c r="AD60" i="12"/>
  <c r="AB45" i="16"/>
  <c r="AB46" i="16" s="1"/>
  <c r="AB41" i="16"/>
  <c r="AB32" i="16"/>
  <c r="O19" i="31" l="1"/>
  <c r="P29" i="19"/>
  <c r="K19" i="32"/>
  <c r="AB16" i="31"/>
  <c r="AC11" i="17"/>
  <c r="AC29" i="15"/>
  <c r="AC10" i="12"/>
  <c r="AC11" i="12" s="1"/>
  <c r="P26" i="20"/>
  <c r="P27" i="20" s="1"/>
  <c r="AC10" i="31"/>
  <c r="AD41" i="15"/>
  <c r="AE8" i="34"/>
  <c r="AE44" i="15"/>
  <c r="AC8" i="28"/>
  <c r="AC11" i="28" s="1"/>
  <c r="AC19" i="16"/>
  <c r="AC21" i="16" s="1"/>
  <c r="AC26" i="11"/>
  <c r="AC27" i="11" s="1"/>
  <c r="AC8" i="31"/>
  <c r="AD20" i="13"/>
  <c r="L27" i="31"/>
  <c r="L16" i="22"/>
  <c r="J27" i="32"/>
  <c r="O46" i="20"/>
  <c r="O47" i="20" s="1"/>
  <c r="AB18" i="28"/>
  <c r="AI13" i="37"/>
  <c r="AI20" i="18"/>
  <c r="AI22" i="18" s="1"/>
  <c r="AI61" i="12"/>
  <c r="AI49" i="12"/>
  <c r="M38" i="9"/>
  <c r="AC32" i="15"/>
  <c r="AC15" i="15"/>
  <c r="AB23" i="34"/>
  <c r="AC12" i="37"/>
  <c r="AD47" i="12"/>
  <c r="AC12" i="13"/>
  <c r="AC13" i="13" s="1"/>
  <c r="AB22" i="34"/>
  <c r="K29" i="34"/>
  <c r="AB48" i="18"/>
  <c r="AB34" i="18"/>
  <c r="AB35" i="18" s="1"/>
  <c r="AB13" i="18" s="1"/>
  <c r="AB15" i="18" s="1"/>
  <c r="AC17" i="34"/>
  <c r="AC27" i="17"/>
  <c r="AI28" i="17" s="1"/>
  <c r="AC12" i="17"/>
  <c r="T15" i="31"/>
  <c r="U28" i="15"/>
  <c r="U36" i="15" s="1"/>
  <c r="P31" i="19"/>
  <c r="P38" i="19"/>
  <c r="L11" i="34"/>
  <c r="L12" i="34" s="1"/>
  <c r="J11" i="35"/>
  <c r="AB17" i="28"/>
  <c r="AB19" i="28" s="1"/>
  <c r="N21" i="28"/>
  <c r="N22" i="28" s="1"/>
  <c r="L20" i="31"/>
  <c r="L21" i="31" s="1"/>
  <c r="M75" i="20"/>
  <c r="J20" i="32"/>
  <c r="AB47" i="16"/>
  <c r="AB33" i="16"/>
  <c r="AB34" i="16" s="1"/>
  <c r="AB13" i="16" s="1"/>
  <c r="AB15" i="16" s="1"/>
  <c r="AD27" i="10"/>
  <c r="AD29" i="10" s="1"/>
  <c r="AB82" i="20" l="1"/>
  <c r="AB18" i="31"/>
  <c r="AC11" i="18"/>
  <c r="AD11" i="13"/>
  <c r="O81" i="20"/>
  <c r="O76" i="20"/>
  <c r="O48" i="20"/>
  <c r="AC40" i="17"/>
  <c r="AC41" i="17" s="1"/>
  <c r="N37" i="9"/>
  <c r="AI14" i="17"/>
  <c r="AI29" i="17"/>
  <c r="L23" i="9"/>
  <c r="J21" i="32"/>
  <c r="AC14" i="34"/>
  <c r="AB25" i="34"/>
  <c r="AI21" i="34"/>
  <c r="AI12" i="18"/>
  <c r="AC14" i="31"/>
  <c r="AD24" i="11"/>
  <c r="U15" i="31"/>
  <c r="V28" i="15"/>
  <c r="V36" i="15" s="1"/>
  <c r="J15" i="24"/>
  <c r="K15" i="33"/>
  <c r="M15" i="32"/>
  <c r="AC29" i="13"/>
  <c r="AC31" i="13" s="1"/>
  <c r="AC14" i="13"/>
  <c r="AC19" i="34"/>
  <c r="AC26" i="16"/>
  <c r="AE27" i="16" s="1"/>
  <c r="AC12" i="16"/>
  <c r="P48" i="19"/>
  <c r="P51" i="19" s="1"/>
  <c r="P36" i="19" s="1"/>
  <c r="Q37" i="19" s="1"/>
  <c r="P32" i="19"/>
  <c r="AB24" i="34"/>
  <c r="P10" i="34"/>
  <c r="AD53" i="12"/>
  <c r="AD54" i="12" s="1"/>
  <c r="AD11" i="11"/>
  <c r="AD12" i="11" s="1"/>
  <c r="AD23" i="10"/>
  <c r="AD24" i="10" s="1"/>
  <c r="AD25" i="12"/>
  <c r="M25" i="31"/>
  <c r="N36" i="9"/>
  <c r="N38" i="9" s="1"/>
  <c r="M28" i="9"/>
  <c r="M30" i="9" s="1"/>
  <c r="AC9" i="20"/>
  <c r="AC10" i="20" s="1"/>
  <c r="P40" i="20"/>
  <c r="P41" i="20" s="1"/>
  <c r="P46" i="20" s="1"/>
  <c r="P47" i="20" s="1"/>
  <c r="P35" i="20"/>
  <c r="P36" i="20" s="1"/>
  <c r="Q33" i="20" s="1"/>
  <c r="L15" i="34"/>
  <c r="J12" i="35"/>
  <c r="AB17" i="31"/>
  <c r="AC11" i="16"/>
  <c r="K12" i="9"/>
  <c r="K13" i="9" s="1"/>
  <c r="M66" i="20"/>
  <c r="M68" i="20" s="1"/>
  <c r="AC9" i="19"/>
  <c r="AC11" i="19" s="1"/>
  <c r="AC22" i="19" s="1"/>
  <c r="AC23" i="19" s="1"/>
  <c r="AC30" i="15"/>
  <c r="AD10" i="37" l="1"/>
  <c r="AE20" i="10"/>
  <c r="AD24" i="12"/>
  <c r="AD26" i="12" s="1"/>
  <c r="AD31" i="12" s="1"/>
  <c r="AD33" i="12" s="1"/>
  <c r="P10" i="38"/>
  <c r="AC13" i="28"/>
  <c r="AC14" i="28" s="1"/>
  <c r="AI18" i="34"/>
  <c r="AC46" i="17"/>
  <c r="AC47" i="17" s="1"/>
  <c r="AC33" i="17"/>
  <c r="AC42" i="17"/>
  <c r="AD16" i="19"/>
  <c r="AD17" i="19" s="1"/>
  <c r="AD42" i="15"/>
  <c r="AD20" i="15"/>
  <c r="AD25" i="11"/>
  <c r="P19" i="31"/>
  <c r="Q29" i="19"/>
  <c r="AD28" i="13"/>
  <c r="AC32" i="13"/>
  <c r="AC9" i="31" s="1"/>
  <c r="AC27" i="18"/>
  <c r="AC28" i="18" s="1"/>
  <c r="AC40" i="18"/>
  <c r="AC41" i="18" s="1"/>
  <c r="Q31" i="19"/>
  <c r="Q38" i="19"/>
  <c r="O21" i="28"/>
  <c r="O22" i="28" s="1"/>
  <c r="AD16" i="37"/>
  <c r="AD63" i="12"/>
  <c r="AD65" i="12" s="1"/>
  <c r="AD71" i="12"/>
  <c r="AD73" i="12" s="1"/>
  <c r="P16" i="38"/>
  <c r="L26" i="34"/>
  <c r="N25" i="31"/>
  <c r="N28" i="9"/>
  <c r="N30" i="9" s="1"/>
  <c r="O36" i="9"/>
  <c r="AC49" i="19"/>
  <c r="AC30" i="19"/>
  <c r="Q26" i="20"/>
  <c r="Q27" i="20" s="1"/>
  <c r="AE28" i="16"/>
  <c r="AE14" i="16"/>
  <c r="V15" i="31"/>
  <c r="W28" i="15"/>
  <c r="W36" i="15" s="1"/>
  <c r="AC14" i="20"/>
  <c r="AC15" i="20" s="1"/>
  <c r="AC20" i="20"/>
  <c r="AC21" i="20" s="1"/>
  <c r="M27" i="31"/>
  <c r="M16" i="22"/>
  <c r="K11" i="31"/>
  <c r="K12" i="31" s="1"/>
  <c r="K22" i="9" s="1"/>
  <c r="K24" i="9" s="1"/>
  <c r="L11" i="9"/>
  <c r="K9" i="8"/>
  <c r="AC39" i="16"/>
  <c r="AC40" i="16" s="1"/>
  <c r="P81" i="20"/>
  <c r="P48" i="20"/>
  <c r="P76" i="20"/>
  <c r="M77" i="20"/>
  <c r="M78" i="20" s="1"/>
  <c r="M69" i="20"/>
  <c r="AC45" i="16" l="1"/>
  <c r="AC46" i="16" s="1"/>
  <c r="AC41" i="16"/>
  <c r="AC32" i="16"/>
  <c r="W15" i="31"/>
  <c r="X28" i="15"/>
  <c r="X36" i="15" s="1"/>
  <c r="M11" i="34"/>
  <c r="M12" i="34" s="1"/>
  <c r="Q10" i="34"/>
  <c r="AC35" i="17"/>
  <c r="AC13" i="17" s="1"/>
  <c r="AC15" i="17" s="1"/>
  <c r="AC48" i="17"/>
  <c r="AC34" i="17"/>
  <c r="AC16" i="28"/>
  <c r="O37" i="9"/>
  <c r="K22" i="29"/>
  <c r="K23" i="31"/>
  <c r="K15" i="22"/>
  <c r="K17" i="22" s="1"/>
  <c r="K21" i="22" s="1"/>
  <c r="AC33" i="18"/>
  <c r="AC42" i="18"/>
  <c r="AC46" i="18"/>
  <c r="AC47" i="18" s="1"/>
  <c r="AD11" i="37"/>
  <c r="AD20" i="17"/>
  <c r="AD22" i="17" s="1"/>
  <c r="AD13" i="15"/>
  <c r="AD14" i="15" s="1"/>
  <c r="AD21" i="13"/>
  <c r="AD23" i="13" s="1"/>
  <c r="AD48" i="12"/>
  <c r="AD50" i="12" s="1"/>
  <c r="AD39" i="12"/>
  <c r="AJ41" i="12" s="1"/>
  <c r="AD17" i="9"/>
  <c r="AD18" i="9" s="1"/>
  <c r="P11" i="38"/>
  <c r="AC39" i="20"/>
  <c r="AC25" i="20"/>
  <c r="L29" i="34"/>
  <c r="J26" i="35"/>
  <c r="M20" i="31"/>
  <c r="M21" i="31" s="1"/>
  <c r="M23" i="9" s="1"/>
  <c r="N75" i="20"/>
  <c r="N27" i="31"/>
  <c r="N16" i="22"/>
  <c r="P21" i="28"/>
  <c r="P22" i="28" s="1"/>
  <c r="P37" i="9" s="1"/>
  <c r="AD17" i="37"/>
  <c r="AE70" i="12"/>
  <c r="AD17" i="11"/>
  <c r="AD18" i="11" s="1"/>
  <c r="P17" i="38"/>
  <c r="AD15" i="37"/>
  <c r="AE60" i="12"/>
  <c r="P15" i="38"/>
  <c r="AC29" i="18"/>
  <c r="AC14" i="18"/>
  <c r="AE28" i="10"/>
  <c r="Q48" i="19"/>
  <c r="Q51" i="19" s="1"/>
  <c r="Q36" i="19" s="1"/>
  <c r="R37" i="19" s="1"/>
  <c r="Q32" i="19"/>
  <c r="O38" i="9"/>
  <c r="AE20" i="34"/>
  <c r="AC34" i="20"/>
  <c r="Q40" i="20"/>
  <c r="Q41" i="20" s="1"/>
  <c r="Q46" i="20" s="1"/>
  <c r="Q47" i="20" s="1"/>
  <c r="Q35" i="20"/>
  <c r="Q36" i="20" s="1"/>
  <c r="R33" i="20" s="1"/>
  <c r="AD21" i="19"/>
  <c r="AD43" i="15"/>
  <c r="AD45" i="15" s="1"/>
  <c r="AD21" i="15"/>
  <c r="AF22" i="15" s="1"/>
  <c r="AD10" i="31" l="1"/>
  <c r="AE41" i="15"/>
  <c r="P10" i="32"/>
  <c r="AE27" i="10"/>
  <c r="AE29" i="10" s="1"/>
  <c r="L12" i="9"/>
  <c r="L13" i="9" s="1"/>
  <c r="J29" i="35"/>
  <c r="AD12" i="37"/>
  <c r="AD12" i="13"/>
  <c r="AD13" i="13" s="1"/>
  <c r="AE47" i="12"/>
  <c r="P12" i="38"/>
  <c r="X15" i="31"/>
  <c r="Y28" i="15"/>
  <c r="Y36" i="15" s="1"/>
  <c r="N15" i="32"/>
  <c r="AD8" i="31"/>
  <c r="AE20" i="13"/>
  <c r="P8" i="32"/>
  <c r="AC16" i="31"/>
  <c r="AD11" i="17"/>
  <c r="AD32" i="15"/>
  <c r="AD15" i="15"/>
  <c r="R31" i="19"/>
  <c r="R38" i="19"/>
  <c r="AD8" i="28"/>
  <c r="AD11" i="28" s="1"/>
  <c r="AD19" i="16"/>
  <c r="AD21" i="16" s="1"/>
  <c r="AD26" i="11"/>
  <c r="AD27" i="11" s="1"/>
  <c r="P8" i="29"/>
  <c r="AC48" i="18"/>
  <c r="AC34" i="18"/>
  <c r="AC17" i="28"/>
  <c r="AD17" i="34"/>
  <c r="AD27" i="17"/>
  <c r="AJ28" i="17" s="1"/>
  <c r="AD12" i="17"/>
  <c r="P17" i="35"/>
  <c r="R26" i="20"/>
  <c r="R27" i="20" s="1"/>
  <c r="O25" i="31"/>
  <c r="P36" i="9"/>
  <c r="P38" i="9" s="1"/>
  <c r="O28" i="9"/>
  <c r="O30" i="9" s="1"/>
  <c r="K25" i="32"/>
  <c r="AC22" i="34"/>
  <c r="AD29" i="15"/>
  <c r="AD10" i="12"/>
  <c r="AD11" i="12" s="1"/>
  <c r="AC18" i="28"/>
  <c r="AC23" i="34"/>
  <c r="AC47" i="16"/>
  <c r="AC33" i="16"/>
  <c r="AC34" i="16" s="1"/>
  <c r="AC13" i="16" s="1"/>
  <c r="AC15" i="16" s="1"/>
  <c r="AF8" i="34"/>
  <c r="AF44" i="15"/>
  <c r="N66" i="20"/>
  <c r="N68" i="20" s="1"/>
  <c r="Q76" i="20"/>
  <c r="Q81" i="20"/>
  <c r="Q48" i="20"/>
  <c r="Q21" i="28" s="1"/>
  <c r="Q22" i="28" s="1"/>
  <c r="Q37" i="9" s="1"/>
  <c r="Q19" i="31"/>
  <c r="R29" i="19"/>
  <c r="AJ13" i="37"/>
  <c r="AJ20" i="18"/>
  <c r="AJ22" i="18" s="1"/>
  <c r="AJ61" i="12"/>
  <c r="AJ49" i="12"/>
  <c r="R13" i="38"/>
  <c r="AC35" i="18"/>
  <c r="AC13" i="18" s="1"/>
  <c r="AC15" i="18" s="1"/>
  <c r="M15" i="34"/>
  <c r="AC19" i="28" l="1"/>
  <c r="AC82" i="20"/>
  <c r="R48" i="19"/>
  <c r="R51" i="19" s="1"/>
  <c r="R36" i="19" s="1"/>
  <c r="S37" i="19" s="1"/>
  <c r="R32" i="19"/>
  <c r="O27" i="31"/>
  <c r="O16" i="22"/>
  <c r="AJ29" i="17"/>
  <c r="AJ14" i="17"/>
  <c r="AD14" i="31"/>
  <c r="AE24" i="11"/>
  <c r="P14" i="32"/>
  <c r="AD40" i="17"/>
  <c r="AD41" i="17" s="1"/>
  <c r="AC17" i="31"/>
  <c r="AD11" i="16"/>
  <c r="AD19" i="34"/>
  <c r="AD26" i="16"/>
  <c r="AF27" i="16" s="1"/>
  <c r="AD12" i="16"/>
  <c r="P19" i="35"/>
  <c r="L11" i="31"/>
  <c r="L12" i="31" s="1"/>
  <c r="L9" i="8"/>
  <c r="M11" i="9"/>
  <c r="J11" i="32"/>
  <c r="AD9" i="19"/>
  <c r="AD11" i="19" s="1"/>
  <c r="AD22" i="19" s="1"/>
  <c r="AD23" i="19" s="1"/>
  <c r="AD30" i="15"/>
  <c r="AD9" i="20"/>
  <c r="AD10" i="20" s="1"/>
  <c r="P11" i="29"/>
  <c r="AE25" i="12"/>
  <c r="AC24" i="34"/>
  <c r="R10" i="34"/>
  <c r="AE11" i="13"/>
  <c r="AD29" i="13"/>
  <c r="AD31" i="13" s="1"/>
  <c r="AD14" i="13"/>
  <c r="AE53" i="12"/>
  <c r="AE54" i="12" s="1"/>
  <c r="AE11" i="11"/>
  <c r="AE12" i="11" s="1"/>
  <c r="AE23" i="10"/>
  <c r="AE24" i="10" s="1"/>
  <c r="R35" i="20"/>
  <c r="R36" i="20" s="1"/>
  <c r="S33" i="20" s="1"/>
  <c r="R40" i="20"/>
  <c r="R41" i="20" s="1"/>
  <c r="R46" i="20" s="1"/>
  <c r="R47" i="20" s="1"/>
  <c r="AD14" i="34"/>
  <c r="P14" i="35"/>
  <c r="AJ21" i="34"/>
  <c r="AJ12" i="18"/>
  <c r="R21" i="35"/>
  <c r="M26" i="34"/>
  <c r="N77" i="20"/>
  <c r="N78" i="20" s="1"/>
  <c r="N69" i="20"/>
  <c r="Y15" i="31"/>
  <c r="Z28" i="15"/>
  <c r="Z36" i="15" s="1"/>
  <c r="P25" i="31"/>
  <c r="Q36" i="9"/>
  <c r="Q38" i="9" s="1"/>
  <c r="P28" i="9"/>
  <c r="P30" i="9" s="1"/>
  <c r="AC18" i="31"/>
  <c r="AD11" i="18"/>
  <c r="AC25" i="34"/>
  <c r="L22" i="9" l="1"/>
  <c r="L24" i="9" s="1"/>
  <c r="J12" i="32"/>
  <c r="AD33" i="17"/>
  <c r="AD42" i="17"/>
  <c r="AD46" i="17"/>
  <c r="AD47" i="17" s="1"/>
  <c r="R19" i="31"/>
  <c r="S29" i="19"/>
  <c r="Z15" i="31"/>
  <c r="AA28" i="15"/>
  <c r="AA36" i="15" s="1"/>
  <c r="S38" i="19"/>
  <c r="S31" i="19"/>
  <c r="AE16" i="37"/>
  <c r="AE63" i="12"/>
  <c r="AE65" i="12" s="1"/>
  <c r="AE71" i="12"/>
  <c r="AE73" i="12" s="1"/>
  <c r="AD27" i="18"/>
  <c r="AD28" i="18" s="1"/>
  <c r="AD40" i="18"/>
  <c r="AD41" i="18" s="1"/>
  <c r="M29" i="34"/>
  <c r="AD13" i="28"/>
  <c r="AD14" i="28" s="1"/>
  <c r="P13" i="29"/>
  <c r="AD14" i="20"/>
  <c r="AD15" i="20" s="1"/>
  <c r="AD20" i="20"/>
  <c r="AD21" i="20" s="1"/>
  <c r="AD34" i="20" s="1"/>
  <c r="AD32" i="13"/>
  <c r="AE28" i="13"/>
  <c r="AD49" i="19"/>
  <c r="AD30" i="19"/>
  <c r="AF14" i="16"/>
  <c r="AF28" i="16"/>
  <c r="AE10" i="37"/>
  <c r="AE24" i="12"/>
  <c r="AE26" i="12" s="1"/>
  <c r="AE31" i="12" s="1"/>
  <c r="AE33" i="12" s="1"/>
  <c r="AF20" i="10"/>
  <c r="P27" i="31"/>
  <c r="P16" i="22"/>
  <c r="N11" i="34"/>
  <c r="N12" i="34" s="1"/>
  <c r="R48" i="20"/>
  <c r="R21" i="28" s="1"/>
  <c r="R22" i="28" s="1"/>
  <c r="R37" i="9" s="1"/>
  <c r="R81" i="20"/>
  <c r="R76" i="20"/>
  <c r="AE16" i="19"/>
  <c r="AE17" i="19" s="1"/>
  <c r="AE20" i="15"/>
  <c r="AE42" i="15"/>
  <c r="AE25" i="11"/>
  <c r="Q25" i="31"/>
  <c r="R36" i="9"/>
  <c r="R38" i="9" s="1"/>
  <c r="Q28" i="9"/>
  <c r="Q30" i="9" s="1"/>
  <c r="N20" i="31"/>
  <c r="N21" i="31" s="1"/>
  <c r="N23" i="9" s="1"/>
  <c r="O75" i="20"/>
  <c r="S26" i="20"/>
  <c r="S27" i="20" s="1"/>
  <c r="AD39" i="16"/>
  <c r="AD40" i="16" s="1"/>
  <c r="AJ18" i="34"/>
  <c r="R18" i="35"/>
  <c r="S40" i="20" l="1"/>
  <c r="S41" i="20" s="1"/>
  <c r="S46" i="20" s="1"/>
  <c r="S47" i="20" s="1"/>
  <c r="S35" i="20"/>
  <c r="S36" i="20" s="1"/>
  <c r="T33" i="20" s="1"/>
  <c r="AD39" i="20"/>
  <c r="AD25" i="20"/>
  <c r="AE15" i="37"/>
  <c r="AF60" i="12"/>
  <c r="M12" i="9"/>
  <c r="M13" i="9" s="1"/>
  <c r="AD48" i="17"/>
  <c r="AD34" i="17"/>
  <c r="AD35" i="17" s="1"/>
  <c r="AD13" i="17" s="1"/>
  <c r="AD15" i="17" s="1"/>
  <c r="AD16" i="28"/>
  <c r="P16" i="29"/>
  <c r="O66" i="20"/>
  <c r="O68" i="20" s="1"/>
  <c r="AD33" i="18"/>
  <c r="AD46" i="18"/>
  <c r="AD47" i="18" s="1"/>
  <c r="AD42" i="18"/>
  <c r="S10" i="34"/>
  <c r="P14" i="29"/>
  <c r="AD29" i="18"/>
  <c r="AD14" i="18"/>
  <c r="AA15" i="31"/>
  <c r="AB28" i="15"/>
  <c r="AB36" i="15" s="1"/>
  <c r="L15" i="33"/>
  <c r="O15" i="32"/>
  <c r="N15" i="34"/>
  <c r="AE21" i="19"/>
  <c r="AE43" i="15"/>
  <c r="AE45" i="15" s="1"/>
  <c r="AE21" i="15"/>
  <c r="AG22" i="15" s="1"/>
  <c r="AF28" i="10"/>
  <c r="AD41" i="16"/>
  <c r="AD32" i="16"/>
  <c r="AD45" i="16"/>
  <c r="AD46" i="16" s="1"/>
  <c r="AD9" i="31"/>
  <c r="P9" i="32"/>
  <c r="L23" i="31"/>
  <c r="L15" i="22"/>
  <c r="L17" i="22" s="1"/>
  <c r="L21" i="22" s="1"/>
  <c r="J23" i="32"/>
  <c r="Q27" i="31"/>
  <c r="Q16" i="22"/>
  <c r="R25" i="31"/>
  <c r="R28" i="9"/>
  <c r="R30" i="9" s="1"/>
  <c r="S36" i="9"/>
  <c r="AE11" i="37"/>
  <c r="AE20" i="17"/>
  <c r="AE22" i="17" s="1"/>
  <c r="AE13" i="15"/>
  <c r="AE14" i="15" s="1"/>
  <c r="AE21" i="13"/>
  <c r="AE23" i="13" s="1"/>
  <c r="AE39" i="12"/>
  <c r="AK41" i="12" s="1"/>
  <c r="AE48" i="12"/>
  <c r="AE50" i="12" s="1"/>
  <c r="AE17" i="9"/>
  <c r="AE18" i="9" s="1"/>
  <c r="AF20" i="34"/>
  <c r="AE17" i="37"/>
  <c r="AF70" i="12"/>
  <c r="AE17" i="11"/>
  <c r="AE18" i="11" s="1"/>
  <c r="S48" i="19"/>
  <c r="S51" i="19" s="1"/>
  <c r="S36" i="19" s="1"/>
  <c r="T37" i="19" s="1"/>
  <c r="S32" i="19"/>
  <c r="AE10" i="31" l="1"/>
  <c r="AF41" i="15"/>
  <c r="AD16" i="31"/>
  <c r="AE11" i="17"/>
  <c r="P16" i="32"/>
  <c r="M11" i="31"/>
  <c r="M12" i="31" s="1"/>
  <c r="M22" i="9" s="1"/>
  <c r="M24" i="9" s="1"/>
  <c r="M9" i="8"/>
  <c r="N11" i="9"/>
  <c r="AD47" i="16"/>
  <c r="AD33" i="16"/>
  <c r="AE8" i="31"/>
  <c r="AF20" i="13"/>
  <c r="AD18" i="28"/>
  <c r="P18" i="29"/>
  <c r="AF27" i="10"/>
  <c r="AF29" i="10" s="1"/>
  <c r="AE17" i="34"/>
  <c r="AE27" i="17"/>
  <c r="AK28" i="17" s="1"/>
  <c r="AE12" i="17"/>
  <c r="AD17" i="28"/>
  <c r="P17" i="29"/>
  <c r="AD48" i="18"/>
  <c r="AD34" i="18"/>
  <c r="AD35" i="18" s="1"/>
  <c r="AD13" i="18" s="1"/>
  <c r="AD15" i="18" s="1"/>
  <c r="AK13" i="37"/>
  <c r="AK20" i="18"/>
  <c r="AK22" i="18" s="1"/>
  <c r="AK49" i="12"/>
  <c r="AK61" i="12"/>
  <c r="AD23" i="34"/>
  <c r="P23" i="35"/>
  <c r="AE15" i="15"/>
  <c r="AE32" i="15"/>
  <c r="S19" i="31"/>
  <c r="T29" i="19"/>
  <c r="AG8" i="34"/>
  <c r="AG44" i="15"/>
  <c r="Q8" i="35"/>
  <c r="AD34" i="16"/>
  <c r="AD13" i="16" s="1"/>
  <c r="AD15" i="16" s="1"/>
  <c r="T38" i="19"/>
  <c r="T31" i="19"/>
  <c r="AE29" i="15"/>
  <c r="AE10" i="12"/>
  <c r="AE11" i="12" s="1"/>
  <c r="AB15" i="31"/>
  <c r="AC28" i="15"/>
  <c r="AC36" i="15" s="1"/>
  <c r="O77" i="20"/>
  <c r="O78" i="20" s="1"/>
  <c r="O69" i="20"/>
  <c r="T26" i="20"/>
  <c r="T27" i="20" s="1"/>
  <c r="AD22" i="34"/>
  <c r="P22" i="35"/>
  <c r="N26" i="34"/>
  <c r="AE8" i="28"/>
  <c r="AE11" i="28" s="1"/>
  <c r="AE19" i="16"/>
  <c r="AE21" i="16" s="1"/>
  <c r="AE26" i="11"/>
  <c r="AE27" i="11" s="1"/>
  <c r="AE12" i="37"/>
  <c r="AE12" i="13"/>
  <c r="AE13" i="13" s="1"/>
  <c r="AF47" i="12"/>
  <c r="R27" i="31"/>
  <c r="R16" i="22"/>
  <c r="L27" i="32"/>
  <c r="S76" i="20"/>
  <c r="S81" i="20"/>
  <c r="S48" i="20"/>
  <c r="AD19" i="28" l="1"/>
  <c r="AD18" i="31"/>
  <c r="AE11" i="18"/>
  <c r="P18" i="32"/>
  <c r="AD82" i="20"/>
  <c r="P19" i="29"/>
  <c r="AE19" i="34"/>
  <c r="AE26" i="16"/>
  <c r="AG27" i="16" s="1"/>
  <c r="AE12" i="16"/>
  <c r="T48" i="19"/>
  <c r="T51" i="19" s="1"/>
  <c r="T36" i="19" s="1"/>
  <c r="U37" i="19" s="1"/>
  <c r="T32" i="19"/>
  <c r="AK21" i="34"/>
  <c r="AK12" i="18"/>
  <c r="M23" i="31"/>
  <c r="M15" i="22"/>
  <c r="M17" i="22" s="1"/>
  <c r="M21" i="22" s="1"/>
  <c r="AE9" i="20"/>
  <c r="AE10" i="20" s="1"/>
  <c r="T35" i="20"/>
  <c r="T36" i="20" s="1"/>
  <c r="U33" i="20" s="1"/>
  <c r="T40" i="20"/>
  <c r="T41" i="20" s="1"/>
  <c r="T46" i="20" s="1"/>
  <c r="T47" i="20" s="1"/>
  <c r="AF11" i="13"/>
  <c r="T10" i="34"/>
  <c r="AK29" i="17"/>
  <c r="AK14" i="17"/>
  <c r="AF25" i="12"/>
  <c r="O11" i="34"/>
  <c r="O12" i="34" s="1"/>
  <c r="O15" i="34" s="1"/>
  <c r="O26" i="34" s="1"/>
  <c r="O29" i="34" s="1"/>
  <c r="O12" i="9" s="1"/>
  <c r="K11" i="35"/>
  <c r="S21" i="28"/>
  <c r="S22" i="28" s="1"/>
  <c r="AE29" i="13"/>
  <c r="AE31" i="13" s="1"/>
  <c r="AE14" i="13"/>
  <c r="N29" i="34"/>
  <c r="O20" i="31"/>
  <c r="O21" i="31" s="1"/>
  <c r="O23" i="9" s="1"/>
  <c r="P75" i="20"/>
  <c r="AD17" i="31"/>
  <c r="AE11" i="16"/>
  <c r="P17" i="32"/>
  <c r="AE14" i="34"/>
  <c r="AD25" i="34"/>
  <c r="P25" i="35"/>
  <c r="AE40" i="17"/>
  <c r="AE41" i="17" s="1"/>
  <c r="AD24" i="34"/>
  <c r="P24" i="35"/>
  <c r="AF11" i="11"/>
  <c r="AF12" i="11" s="1"/>
  <c r="AF23" i="10"/>
  <c r="AF24" i="10" s="1"/>
  <c r="AF53" i="12"/>
  <c r="AF54" i="12" s="1"/>
  <c r="AC15" i="31"/>
  <c r="AD28" i="15"/>
  <c r="AD36" i="15" s="1"/>
  <c r="AE14" i="31"/>
  <c r="AF24" i="11"/>
  <c r="AE9" i="19"/>
  <c r="AE11" i="19" s="1"/>
  <c r="AE22" i="19" s="1"/>
  <c r="AE23" i="19" s="1"/>
  <c r="AE30" i="15"/>
  <c r="P66" i="20" l="1"/>
  <c r="P68" i="20" s="1"/>
  <c r="S37" i="9"/>
  <c r="S38" i="9" s="1"/>
  <c r="AE14" i="20"/>
  <c r="AE15" i="20" s="1"/>
  <c r="AE20" i="20"/>
  <c r="AE21" i="20" s="1"/>
  <c r="AE34" i="20" s="1"/>
  <c r="AF16" i="19"/>
  <c r="AF17" i="19" s="1"/>
  <c r="AF42" i="15"/>
  <c r="AF20" i="15"/>
  <c r="AF25" i="11"/>
  <c r="T19" i="31"/>
  <c r="U29" i="19"/>
  <c r="U38" i="19"/>
  <c r="U31" i="19"/>
  <c r="N12" i="9"/>
  <c r="N13" i="9" s="1"/>
  <c r="K29" i="35"/>
  <c r="T81" i="20"/>
  <c r="T76" i="20"/>
  <c r="T48" i="20"/>
  <c r="AF10" i="37"/>
  <c r="AF24" i="12"/>
  <c r="AF26" i="12" s="1"/>
  <c r="AF31" i="12" s="1"/>
  <c r="AF33" i="12" s="1"/>
  <c r="AG20" i="10"/>
  <c r="AD15" i="31"/>
  <c r="AE28" i="15"/>
  <c r="AE36" i="15" s="1"/>
  <c r="P15" i="32"/>
  <c r="AE13" i="28"/>
  <c r="AE14" i="28" s="1"/>
  <c r="AE33" i="17"/>
  <c r="AE42" i="17"/>
  <c r="AE46" i="17"/>
  <c r="AE47" i="17" s="1"/>
  <c r="AE39" i="16"/>
  <c r="AE40" i="16" s="1"/>
  <c r="AE32" i="13"/>
  <c r="AE9" i="31" s="1"/>
  <c r="AF28" i="13"/>
  <c r="U26" i="20"/>
  <c r="U27" i="20" s="1"/>
  <c r="AE40" i="18"/>
  <c r="AE41" i="18" s="1"/>
  <c r="AE27" i="18"/>
  <c r="AE28" i="18" s="1"/>
  <c r="AE49" i="19"/>
  <c r="AE30" i="19"/>
  <c r="AF16" i="37"/>
  <c r="AF63" i="12"/>
  <c r="AF65" i="12" s="1"/>
  <c r="AF71" i="12"/>
  <c r="AF73" i="12" s="1"/>
  <c r="AK18" i="34"/>
  <c r="AG28" i="16"/>
  <c r="AG14" i="16"/>
  <c r="AF21" i="19" l="1"/>
  <c r="AF43" i="15"/>
  <c r="AF21" i="15"/>
  <c r="U40" i="20"/>
  <c r="U41" i="20" s="1"/>
  <c r="U46" i="20" s="1"/>
  <c r="U47" i="20" s="1"/>
  <c r="U35" i="20"/>
  <c r="U36" i="20" s="1"/>
  <c r="V33" i="20" s="1"/>
  <c r="AE39" i="20"/>
  <c r="AE25" i="20"/>
  <c r="U10" i="34"/>
  <c r="M10" i="35"/>
  <c r="U48" i="19"/>
  <c r="U51" i="19" s="1"/>
  <c r="U36" i="19" s="1"/>
  <c r="V37" i="19" s="1"/>
  <c r="U32" i="19"/>
  <c r="T21" i="28"/>
  <c r="T22" i="28" s="1"/>
  <c r="S25" i="31"/>
  <c r="S28" i="9"/>
  <c r="S30" i="9" s="1"/>
  <c r="T36" i="9"/>
  <c r="AE45" i="16"/>
  <c r="AE46" i="16" s="1"/>
  <c r="AE41" i="16"/>
  <c r="AE32" i="16"/>
  <c r="AF17" i="37"/>
  <c r="AG70" i="12"/>
  <c r="AF17" i="11"/>
  <c r="AF18" i="11" s="1"/>
  <c r="AF15" i="37"/>
  <c r="AG60" i="12"/>
  <c r="AG28" i="10"/>
  <c r="N11" i="31"/>
  <c r="N12" i="31" s="1"/>
  <c r="N22" i="9" s="1"/>
  <c r="N24" i="9" s="1"/>
  <c r="N9" i="8"/>
  <c r="O11" i="9"/>
  <c r="O13" i="9" s="1"/>
  <c r="AH22" i="15"/>
  <c r="AE15" i="31"/>
  <c r="AF28" i="15"/>
  <c r="AE29" i="18"/>
  <c r="AE14" i="18"/>
  <c r="AE48" i="17"/>
  <c r="AE34" i="17"/>
  <c r="AE35" i="17" s="1"/>
  <c r="AE13" i="17" s="1"/>
  <c r="AE15" i="17" s="1"/>
  <c r="AE33" i="18"/>
  <c r="AE46" i="18"/>
  <c r="AE47" i="18" s="1"/>
  <c r="AE42" i="18"/>
  <c r="AE16" i="28"/>
  <c r="AG20" i="34"/>
  <c r="Q20" i="35"/>
  <c r="AF11" i="37"/>
  <c r="AF20" i="17"/>
  <c r="AF22" i="17" s="1"/>
  <c r="AF13" i="15"/>
  <c r="AF14" i="15" s="1"/>
  <c r="AF39" i="12"/>
  <c r="AL41" i="12" s="1"/>
  <c r="AF48" i="12"/>
  <c r="AF50" i="12" s="1"/>
  <c r="AF21" i="13"/>
  <c r="AF23" i="13" s="1"/>
  <c r="AF17" i="9"/>
  <c r="AF18" i="9" s="1"/>
  <c r="AF45" i="15"/>
  <c r="P77" i="20"/>
  <c r="P78" i="20" s="1"/>
  <c r="P69" i="20"/>
  <c r="AF15" i="15" l="1"/>
  <c r="AF32" i="15"/>
  <c r="AE22" i="34"/>
  <c r="N23" i="31"/>
  <c r="N15" i="22"/>
  <c r="N17" i="22" s="1"/>
  <c r="N21" i="22" s="1"/>
  <c r="P20" i="31"/>
  <c r="P21" i="31" s="1"/>
  <c r="P23" i="9" s="1"/>
  <c r="Q75" i="20"/>
  <c r="AE18" i="28"/>
  <c r="AE34" i="18"/>
  <c r="AE35" i="18" s="1"/>
  <c r="AE13" i="18" s="1"/>
  <c r="AE15" i="18" s="1"/>
  <c r="AE48" i="18"/>
  <c r="AE17" i="28"/>
  <c r="AE47" i="16"/>
  <c r="AE33" i="16"/>
  <c r="AE34" i="16" s="1"/>
  <c r="AE13" i="16" s="1"/>
  <c r="AE15" i="16" s="1"/>
  <c r="T37" i="9"/>
  <c r="T38" i="9" s="1"/>
  <c r="V26" i="20"/>
  <c r="V27" i="20" s="1"/>
  <c r="AG27" i="10"/>
  <c r="AG29" i="10" s="1"/>
  <c r="U19" i="31"/>
  <c r="V29" i="19"/>
  <c r="J19" i="24"/>
  <c r="K19" i="33"/>
  <c r="M19" i="32"/>
  <c r="U76" i="20"/>
  <c r="U48" i="20"/>
  <c r="U81" i="20"/>
  <c r="V31" i="19"/>
  <c r="V38" i="19"/>
  <c r="P11" i="34"/>
  <c r="P12" i="34" s="1"/>
  <c r="AF8" i="31"/>
  <c r="AG20" i="13"/>
  <c r="S27" i="31"/>
  <c r="S16" i="22"/>
  <c r="AF12" i="37"/>
  <c r="AF12" i="13"/>
  <c r="AF13" i="13" s="1"/>
  <c r="AG47" i="12"/>
  <c r="AH8" i="34"/>
  <c r="AH44" i="15"/>
  <c r="AF8" i="28"/>
  <c r="AF11" i="28" s="1"/>
  <c r="AF19" i="16"/>
  <c r="AF21" i="16" s="1"/>
  <c r="AF26" i="11"/>
  <c r="AF27" i="11" s="1"/>
  <c r="AF17" i="34"/>
  <c r="AF27" i="17"/>
  <c r="AL28" i="17" s="1"/>
  <c r="AF12" i="17"/>
  <c r="AF10" i="31"/>
  <c r="AG41" i="15"/>
  <c r="AE16" i="31"/>
  <c r="AF11" i="17"/>
  <c r="AF29" i="15"/>
  <c r="AF10" i="12"/>
  <c r="AF11" i="12" s="1"/>
  <c r="AE23" i="34"/>
  <c r="AL13" i="37"/>
  <c r="AL20" i="18"/>
  <c r="AL22" i="18" s="1"/>
  <c r="AL61" i="12"/>
  <c r="AL49" i="12"/>
  <c r="O11" i="31"/>
  <c r="O12" i="31" s="1"/>
  <c r="P11" i="9"/>
  <c r="O9" i="8"/>
  <c r="K11" i="32"/>
  <c r="AE19" i="28" l="1"/>
  <c r="AE17" i="31"/>
  <c r="AF11" i="16"/>
  <c r="AE82" i="20"/>
  <c r="AE18" i="31"/>
  <c r="AF11" i="18"/>
  <c r="AG11" i="13"/>
  <c r="T25" i="31"/>
  <c r="U36" i="9"/>
  <c r="T28" i="9"/>
  <c r="T30" i="9" s="1"/>
  <c r="AE24" i="34"/>
  <c r="O22" i="9"/>
  <c r="O24" i="9" s="1"/>
  <c r="K12" i="32"/>
  <c r="AL29" i="17"/>
  <c r="AL14" i="17"/>
  <c r="AG53" i="12"/>
  <c r="AG54" i="12" s="1"/>
  <c r="AG11" i="11"/>
  <c r="AG12" i="11" s="1"/>
  <c r="AG23" i="10"/>
  <c r="AG24" i="10" s="1"/>
  <c r="AF9" i="19"/>
  <c r="AF11" i="19" s="1"/>
  <c r="AF22" i="19" s="1"/>
  <c r="AF23" i="19" s="1"/>
  <c r="AF30" i="15"/>
  <c r="AF36" i="15" s="1"/>
  <c r="U21" i="28"/>
  <c r="U22" i="28" s="1"/>
  <c r="M21" i="29"/>
  <c r="AL21" i="34"/>
  <c r="AL12" i="18"/>
  <c r="AF14" i="31"/>
  <c r="AG24" i="11"/>
  <c r="AG25" i="12"/>
  <c r="Q66" i="20"/>
  <c r="Q68" i="20" s="1"/>
  <c r="AF40" i="17"/>
  <c r="AF41" i="17" s="1"/>
  <c r="V35" i="20"/>
  <c r="V36" i="20" s="1"/>
  <c r="W33" i="20" s="1"/>
  <c r="V40" i="20"/>
  <c r="V41" i="20" s="1"/>
  <c r="V46" i="20" s="1"/>
  <c r="V47" i="20" s="1"/>
  <c r="AF9" i="20"/>
  <c r="AF10" i="20" s="1"/>
  <c r="P15" i="34"/>
  <c r="AF14" i="34"/>
  <c r="AF19" i="34"/>
  <c r="AF12" i="16"/>
  <c r="AF26" i="16"/>
  <c r="AH27" i="16" s="1"/>
  <c r="AF29" i="13"/>
  <c r="AF31" i="13" s="1"/>
  <c r="AF14" i="13"/>
  <c r="V10" i="34"/>
  <c r="V48" i="19"/>
  <c r="V51" i="19" s="1"/>
  <c r="V36" i="19" s="1"/>
  <c r="W37" i="19" s="1"/>
  <c r="V32" i="19"/>
  <c r="AE25" i="34"/>
  <c r="AF15" i="31" l="1"/>
  <c r="AG28" i="15"/>
  <c r="P26" i="34"/>
  <c r="AF33" i="17"/>
  <c r="AF42" i="17"/>
  <c r="AF46" i="17"/>
  <c r="AF47" i="17" s="1"/>
  <c r="W31" i="19"/>
  <c r="W38" i="19"/>
  <c r="AF20" i="20"/>
  <c r="AF21" i="20" s="1"/>
  <c r="AF34" i="20" s="1"/>
  <c r="AF14" i="20"/>
  <c r="AF15" i="20" s="1"/>
  <c r="AG16" i="37"/>
  <c r="AG63" i="12"/>
  <c r="AG65" i="12" s="1"/>
  <c r="AG71" i="12"/>
  <c r="AG73" i="12" s="1"/>
  <c r="Q16" i="38"/>
  <c r="T27" i="31"/>
  <c r="T16" i="22"/>
  <c r="Q69" i="20"/>
  <c r="Q11" i="34" s="1"/>
  <c r="Q12" i="34" s="1"/>
  <c r="Q77" i="20"/>
  <c r="Q78" i="20" s="1"/>
  <c r="AH14" i="16"/>
  <c r="AH28" i="16"/>
  <c r="AG10" i="37"/>
  <c r="AG24" i="12"/>
  <c r="AG26" i="12" s="1"/>
  <c r="AG31" i="12" s="1"/>
  <c r="AG33" i="12" s="1"/>
  <c r="AH20" i="10"/>
  <c r="K10" i="26"/>
  <c r="M10" i="39"/>
  <c r="Q10" i="38"/>
  <c r="AL18" i="34"/>
  <c r="AG16" i="19"/>
  <c r="AG17" i="19" s="1"/>
  <c r="AG42" i="15"/>
  <c r="AG20" i="15"/>
  <c r="AG25" i="11"/>
  <c r="AF13" i="28"/>
  <c r="AF14" i="28" s="1"/>
  <c r="V76" i="20"/>
  <c r="V81" i="20"/>
  <c r="V48" i="20"/>
  <c r="U37" i="9"/>
  <c r="U38" i="9" s="1"/>
  <c r="M22" i="29"/>
  <c r="AF39" i="16"/>
  <c r="AF40" i="16" s="1"/>
  <c r="V19" i="31"/>
  <c r="W29" i="19"/>
  <c r="AF32" i="13"/>
  <c r="AF9" i="31" s="1"/>
  <c r="AG28" i="13"/>
  <c r="W26" i="20"/>
  <c r="W27" i="20" s="1"/>
  <c r="O23" i="31"/>
  <c r="O15" i="22"/>
  <c r="O17" i="22" s="1"/>
  <c r="O21" i="22" s="1"/>
  <c r="AF30" i="19"/>
  <c r="AF49" i="19"/>
  <c r="AF27" i="18"/>
  <c r="AF28" i="18" s="1"/>
  <c r="AF40" i="18"/>
  <c r="AF41" i="18" s="1"/>
  <c r="AF48" i="17" l="1"/>
  <c r="AF34" i="17"/>
  <c r="AH20" i="34"/>
  <c r="W48" i="19"/>
  <c r="W51" i="19" s="1"/>
  <c r="W36" i="19" s="1"/>
  <c r="X37" i="19" s="1"/>
  <c r="W32" i="19"/>
  <c r="AG17" i="37"/>
  <c r="AH70" i="12"/>
  <c r="AG17" i="11"/>
  <c r="AG18" i="11" s="1"/>
  <c r="M17" i="39"/>
  <c r="Q17" i="38"/>
  <c r="K17" i="26"/>
  <c r="AF16" i="28"/>
  <c r="Q20" i="31"/>
  <c r="Q21" i="31" s="1"/>
  <c r="Q23" i="9" s="1"/>
  <c r="R75" i="20"/>
  <c r="AF35" i="17"/>
  <c r="AF13" i="17" s="1"/>
  <c r="AF15" i="17" s="1"/>
  <c r="Q15" i="34"/>
  <c r="AF39" i="20"/>
  <c r="AF25" i="20"/>
  <c r="AG15" i="37"/>
  <c r="AH60" i="12"/>
  <c r="K15" i="26"/>
  <c r="Q15" i="38"/>
  <c r="M15" i="39"/>
  <c r="AH28" i="10"/>
  <c r="P29" i="34"/>
  <c r="AF33" i="18"/>
  <c r="AF46" i="18"/>
  <c r="AF47" i="18" s="1"/>
  <c r="AF42" i="18"/>
  <c r="AF29" i="18"/>
  <c r="AF14" i="18"/>
  <c r="AF41" i="16"/>
  <c r="AF32" i="16"/>
  <c r="AF45" i="16"/>
  <c r="AF46" i="16" s="1"/>
  <c r="AG11" i="37"/>
  <c r="AG20" i="17"/>
  <c r="AG22" i="17" s="1"/>
  <c r="AG13" i="15"/>
  <c r="AG14" i="15" s="1"/>
  <c r="AG21" i="13"/>
  <c r="AG23" i="13" s="1"/>
  <c r="AG39" i="12"/>
  <c r="AM41" i="12" s="1"/>
  <c r="AG48" i="12"/>
  <c r="AG50" i="12" s="1"/>
  <c r="AG17" i="9"/>
  <c r="AG18" i="9" s="1"/>
  <c r="Q11" i="38"/>
  <c r="W10" i="34"/>
  <c r="U25" i="31"/>
  <c r="U28" i="9"/>
  <c r="U30" i="9" s="1"/>
  <c r="V36" i="9"/>
  <c r="K25" i="33"/>
  <c r="M25" i="32"/>
  <c r="J25" i="24"/>
  <c r="W40" i="20"/>
  <c r="W41" i="20" s="1"/>
  <c r="W46" i="20" s="1"/>
  <c r="W47" i="20" s="1"/>
  <c r="W35" i="20"/>
  <c r="W36" i="20" s="1"/>
  <c r="X33" i="20" s="1"/>
  <c r="V21" i="28"/>
  <c r="V22" i="28" s="1"/>
  <c r="AG21" i="19"/>
  <c r="AG43" i="15"/>
  <c r="AG45" i="15" s="1"/>
  <c r="AG21" i="15"/>
  <c r="AI22" i="15" s="1"/>
  <c r="AI8" i="34" l="1"/>
  <c r="AI44" i="15"/>
  <c r="AF33" i="16"/>
  <c r="AF47" i="16"/>
  <c r="Q26" i="34"/>
  <c r="X31" i="19"/>
  <c r="X38" i="19"/>
  <c r="AG29" i="15"/>
  <c r="AG10" i="12"/>
  <c r="AG11" i="12" s="1"/>
  <c r="AG12" i="37"/>
  <c r="AG12" i="13"/>
  <c r="AG13" i="13" s="1"/>
  <c r="AH47" i="12"/>
  <c r="Q12" i="38"/>
  <c r="M12" i="39"/>
  <c r="K12" i="26"/>
  <c r="X26" i="20"/>
  <c r="X27" i="20" s="1"/>
  <c r="AM13" i="37"/>
  <c r="AM20" i="18"/>
  <c r="AM22" i="18" s="1"/>
  <c r="AM49" i="12"/>
  <c r="AM61" i="12"/>
  <c r="S13" i="38"/>
  <c r="AH27" i="10"/>
  <c r="AH29" i="10" s="1"/>
  <c r="AG8" i="28"/>
  <c r="AG11" i="28" s="1"/>
  <c r="AG19" i="16"/>
  <c r="AG21" i="16" s="1"/>
  <c r="AG26" i="11"/>
  <c r="AG27" i="11" s="1"/>
  <c r="Q8" i="29"/>
  <c r="AF34" i="16"/>
  <c r="AF13" i="16" s="1"/>
  <c r="AF15" i="16" s="1"/>
  <c r="AG10" i="31"/>
  <c r="AH41" i="15"/>
  <c r="K10" i="24"/>
  <c r="Q10" i="32"/>
  <c r="M10" i="33"/>
  <c r="AF17" i="28"/>
  <c r="P12" i="9"/>
  <c r="P13" i="9" s="1"/>
  <c r="AF16" i="31"/>
  <c r="AG11" i="17"/>
  <c r="W81" i="20"/>
  <c r="W76" i="20"/>
  <c r="W48" i="20"/>
  <c r="AG8" i="31"/>
  <c r="AH20" i="13"/>
  <c r="Q8" i="32"/>
  <c r="K8" i="24"/>
  <c r="M8" i="33"/>
  <c r="AF22" i="34"/>
  <c r="R66" i="20"/>
  <c r="R68" i="20" s="1"/>
  <c r="U27" i="31"/>
  <c r="U16" i="22"/>
  <c r="M27" i="32"/>
  <c r="K27" i="33"/>
  <c r="J27" i="24"/>
  <c r="AG15" i="15"/>
  <c r="AG32" i="15"/>
  <c r="AF18" i="28"/>
  <c r="AF23" i="34"/>
  <c r="V37" i="9"/>
  <c r="V38" i="9" s="1"/>
  <c r="AG17" i="34"/>
  <c r="AG27" i="17"/>
  <c r="AM28" i="17" s="1"/>
  <c r="AG12" i="17"/>
  <c r="Q17" i="35"/>
  <c r="AF34" i="18"/>
  <c r="AF35" i="18" s="1"/>
  <c r="AF13" i="18" s="1"/>
  <c r="AF15" i="18" s="1"/>
  <c r="AF48" i="18"/>
  <c r="W19" i="31"/>
  <c r="X29" i="19"/>
  <c r="AF19" i="28" l="1"/>
  <c r="V25" i="31"/>
  <c r="V28" i="9"/>
  <c r="V30" i="9" s="1"/>
  <c r="W36" i="9"/>
  <c r="AF18" i="31"/>
  <c r="AG11" i="18"/>
  <c r="AG14" i="31"/>
  <c r="AH24" i="11"/>
  <c r="M14" i="33"/>
  <c r="Q14" i="32"/>
  <c r="K14" i="24"/>
  <c r="AM21" i="34"/>
  <c r="AM12" i="18"/>
  <c r="S21" i="35"/>
  <c r="AG29" i="13"/>
  <c r="AG31" i="13" s="1"/>
  <c r="AG14" i="13"/>
  <c r="AF24" i="34"/>
  <c r="Q29" i="34"/>
  <c r="X48" i="19"/>
  <c r="X51" i="19" s="1"/>
  <c r="X36" i="19" s="1"/>
  <c r="Y37" i="19" s="1"/>
  <c r="X32" i="19"/>
  <c r="AG19" i="34"/>
  <c r="AG26" i="16"/>
  <c r="AI27" i="16" s="1"/>
  <c r="AG12" i="16"/>
  <c r="Q19" i="35"/>
  <c r="AF82" i="20"/>
  <c r="AG40" i="17"/>
  <c r="AG41" i="17" s="1"/>
  <c r="AG9" i="20"/>
  <c r="AG10" i="20" s="1"/>
  <c r="Q11" i="29"/>
  <c r="AG9" i="19"/>
  <c r="AG11" i="19" s="1"/>
  <c r="AG22" i="19" s="1"/>
  <c r="AG23" i="19" s="1"/>
  <c r="AG30" i="15"/>
  <c r="AG36" i="15" s="1"/>
  <c r="AM29" i="17"/>
  <c r="AM14" i="17"/>
  <c r="X40" i="20"/>
  <c r="X41" i="20" s="1"/>
  <c r="X46" i="20" s="1"/>
  <c r="X47" i="20" s="1"/>
  <c r="X35" i="20"/>
  <c r="X36" i="20" s="1"/>
  <c r="Y33" i="20" s="1"/>
  <c r="AF25" i="34"/>
  <c r="AH11" i="13"/>
  <c r="AH53" i="12"/>
  <c r="AH54" i="12" s="1"/>
  <c r="AH11" i="11"/>
  <c r="AH12" i="11" s="1"/>
  <c r="AH23" i="10"/>
  <c r="AH24" i="10" s="1"/>
  <c r="X10" i="34"/>
  <c r="N10" i="35"/>
  <c r="AH25" i="12"/>
  <c r="AG14" i="34"/>
  <c r="Q14" i="35"/>
  <c r="P11" i="31"/>
  <c r="P12" i="31" s="1"/>
  <c r="P22" i="9" s="1"/>
  <c r="P24" i="9" s="1"/>
  <c r="P9" i="8"/>
  <c r="Q11" i="9"/>
  <c r="AF17" i="31"/>
  <c r="AG11" i="16"/>
  <c r="R77" i="20"/>
  <c r="R78" i="20" s="1"/>
  <c r="R69" i="20"/>
  <c r="R11" i="34" s="1"/>
  <c r="R12" i="34" s="1"/>
  <c r="W21" i="28"/>
  <c r="W22" i="28" s="1"/>
  <c r="AG39" i="16" l="1"/>
  <c r="AG40" i="16" s="1"/>
  <c r="AH16" i="19"/>
  <c r="AH17" i="19" s="1"/>
  <c r="AH42" i="15"/>
  <c r="AH20" i="15"/>
  <c r="AH25" i="11"/>
  <c r="X81" i="20"/>
  <c r="X48" i="20"/>
  <c r="X76" i="20"/>
  <c r="AG14" i="20"/>
  <c r="AG15" i="20" s="1"/>
  <c r="AG20" i="20"/>
  <c r="AG21" i="20" s="1"/>
  <c r="AG34" i="20" s="1"/>
  <c r="AH16" i="37"/>
  <c r="AH71" i="12"/>
  <c r="AH73" i="12" s="1"/>
  <c r="AH63" i="12"/>
  <c r="AH65" i="12" s="1"/>
  <c r="AI28" i="16"/>
  <c r="AI14" i="16"/>
  <c r="AG13" i="28"/>
  <c r="AG14" i="28" s="1"/>
  <c r="Q13" i="29"/>
  <c r="AG32" i="13"/>
  <c r="AH28" i="13"/>
  <c r="AG40" i="18"/>
  <c r="AG41" i="18" s="1"/>
  <c r="AG27" i="18"/>
  <c r="AG28" i="18" s="1"/>
  <c r="X19" i="31"/>
  <c r="Y29" i="19"/>
  <c r="N19" i="32"/>
  <c r="P23" i="31"/>
  <c r="P15" i="22"/>
  <c r="P17" i="22" s="1"/>
  <c r="P21" i="22" s="1"/>
  <c r="AM18" i="34"/>
  <c r="S18" i="35"/>
  <c r="Y31" i="19"/>
  <c r="Y38" i="19"/>
  <c r="AG42" i="17"/>
  <c r="AG46" i="17"/>
  <c r="AG47" i="17" s="1"/>
  <c r="AG33" i="17"/>
  <c r="W37" i="9"/>
  <c r="W38" i="9"/>
  <c r="AG30" i="19"/>
  <c r="AG49" i="19"/>
  <c r="Q12" i="9"/>
  <c r="Q13" i="9" s="1"/>
  <c r="V27" i="31"/>
  <c r="V16" i="22"/>
  <c r="R15" i="34"/>
  <c r="L12" i="35"/>
  <c r="AG15" i="31"/>
  <c r="AH28" i="15"/>
  <c r="M15" i="33"/>
  <c r="Q15" i="32"/>
  <c r="K15" i="24"/>
  <c r="R20" i="31"/>
  <c r="R21" i="31" s="1"/>
  <c r="S75" i="20"/>
  <c r="L20" i="32"/>
  <c r="AH10" i="37"/>
  <c r="AH24" i="12"/>
  <c r="AH26" i="12" s="1"/>
  <c r="AH31" i="12" s="1"/>
  <c r="AH33" i="12" s="1"/>
  <c r="AI20" i="10"/>
  <c r="Y26" i="20"/>
  <c r="Y27" i="20" s="1"/>
  <c r="X21" i="28" l="1"/>
  <c r="X22" i="28" s="1"/>
  <c r="N21" i="29"/>
  <c r="R23" i="9"/>
  <c r="L21" i="32"/>
  <c r="W25" i="31"/>
  <c r="X36" i="9"/>
  <c r="W28" i="9"/>
  <c r="W30" i="9" s="1"/>
  <c r="Y10" i="34"/>
  <c r="AG9" i="31"/>
  <c r="Q9" i="32"/>
  <c r="M9" i="33"/>
  <c r="K9" i="24"/>
  <c r="AH17" i="37"/>
  <c r="AI70" i="12"/>
  <c r="AH17" i="11"/>
  <c r="AH18" i="11" s="1"/>
  <c r="AJ22" i="15"/>
  <c r="S66" i="20"/>
  <c r="S68" i="20" s="1"/>
  <c r="AG16" i="28"/>
  <c r="Q16" i="29"/>
  <c r="Y48" i="19"/>
  <c r="Y51" i="19" s="1"/>
  <c r="Y36" i="19" s="1"/>
  <c r="Z37" i="19" s="1"/>
  <c r="Y32" i="19"/>
  <c r="Q14" i="29"/>
  <c r="R26" i="34"/>
  <c r="AH15" i="37"/>
  <c r="AI60" i="12"/>
  <c r="Y40" i="20"/>
  <c r="Y41" i="20" s="1"/>
  <c r="Y46" i="20" s="1"/>
  <c r="Y47" i="20" s="1"/>
  <c r="Y35" i="20"/>
  <c r="Y36" i="20" s="1"/>
  <c r="Z33" i="20" s="1"/>
  <c r="Q11" i="31"/>
  <c r="Q12" i="31" s="1"/>
  <c r="Q22" i="9" s="1"/>
  <c r="Q24" i="9" s="1"/>
  <c r="R11" i="9"/>
  <c r="Q9" i="8"/>
  <c r="AI28" i="10"/>
  <c r="AG29" i="18"/>
  <c r="AG14" i="18"/>
  <c r="AH21" i="19"/>
  <c r="AH21" i="15"/>
  <c r="AH43" i="15"/>
  <c r="AH45" i="15" s="1"/>
  <c r="AH11" i="37"/>
  <c r="AH20" i="17"/>
  <c r="AH22" i="17" s="1"/>
  <c r="AH13" i="15"/>
  <c r="AH14" i="15" s="1"/>
  <c r="AH21" i="13"/>
  <c r="AH23" i="13" s="1"/>
  <c r="AH39" i="12"/>
  <c r="AN41" i="12" s="1"/>
  <c r="AH48" i="12"/>
  <c r="AH50" i="12" s="1"/>
  <c r="AH17" i="9"/>
  <c r="AH18" i="9" s="1"/>
  <c r="AG35" i="17"/>
  <c r="AG13" i="17" s="1"/>
  <c r="AG15" i="17" s="1"/>
  <c r="AG33" i="18"/>
  <c r="AG46" i="18"/>
  <c r="AG47" i="18" s="1"/>
  <c r="AG42" i="18"/>
  <c r="AI20" i="34"/>
  <c r="AG25" i="20"/>
  <c r="AG39" i="20"/>
  <c r="AG34" i="17"/>
  <c r="AG48" i="17"/>
  <c r="AG41" i="16"/>
  <c r="AG32" i="16"/>
  <c r="AG45" i="16"/>
  <c r="AG46" i="16" s="1"/>
  <c r="AH10" i="31" l="1"/>
  <c r="AI41" i="15"/>
  <c r="Q23" i="31"/>
  <c r="Q15" i="22"/>
  <c r="Q17" i="22" s="1"/>
  <c r="Q21" i="22" s="1"/>
  <c r="AG48" i="18"/>
  <c r="AG34" i="18"/>
  <c r="AG35" i="18" s="1"/>
  <c r="AG13" i="18" s="1"/>
  <c r="AG15" i="18" s="1"/>
  <c r="AH12" i="37"/>
  <c r="AI47" i="12"/>
  <c r="AH12" i="13"/>
  <c r="AH13" i="13" s="1"/>
  <c r="Z26" i="20"/>
  <c r="Z27" i="20" s="1"/>
  <c r="AH8" i="28"/>
  <c r="AH11" i="28" s="1"/>
  <c r="AH19" i="16"/>
  <c r="AH21" i="16" s="1"/>
  <c r="AH26" i="11"/>
  <c r="AH27" i="11" s="1"/>
  <c r="AG18" i="28"/>
  <c r="Q18" i="29"/>
  <c r="Y76" i="20"/>
  <c r="Y81" i="20"/>
  <c r="Y48" i="20"/>
  <c r="Y19" i="31"/>
  <c r="Z29" i="19"/>
  <c r="AH29" i="15"/>
  <c r="AH10" i="12"/>
  <c r="AH11" i="12" s="1"/>
  <c r="AG16" i="31"/>
  <c r="AH11" i="17"/>
  <c r="M16" i="33"/>
  <c r="Q16" i="32"/>
  <c r="K16" i="24"/>
  <c r="AI27" i="10"/>
  <c r="AI29" i="10" s="1"/>
  <c r="Z31" i="19"/>
  <c r="Z38" i="19"/>
  <c r="AJ8" i="34"/>
  <c r="AJ44" i="15"/>
  <c r="R8" i="35"/>
  <c r="AH8" i="31"/>
  <c r="AI20" i="13"/>
  <c r="AG23" i="34"/>
  <c r="Q23" i="35"/>
  <c r="AN13" i="37"/>
  <c r="AN20" i="18"/>
  <c r="AN22" i="18" s="1"/>
  <c r="AN49" i="12"/>
  <c r="AN61" i="12"/>
  <c r="AG47" i="16"/>
  <c r="AG33" i="16"/>
  <c r="AG34" i="16" s="1"/>
  <c r="AG13" i="16" s="1"/>
  <c r="AG15" i="16" s="1"/>
  <c r="AH17" i="34"/>
  <c r="AH27" i="17"/>
  <c r="AN28" i="17" s="1"/>
  <c r="AH12" i="17"/>
  <c r="W27" i="31"/>
  <c r="W16" i="22"/>
  <c r="X37" i="9"/>
  <c r="N22" i="29"/>
  <c r="AH15" i="15"/>
  <c r="AH32" i="15"/>
  <c r="R29" i="34"/>
  <c r="X38" i="9"/>
  <c r="AG22" i="34"/>
  <c r="Q22" i="35"/>
  <c r="AG17" i="28"/>
  <c r="Q17" i="29"/>
  <c r="S69" i="20"/>
  <c r="S77" i="20"/>
  <c r="S78" i="20" s="1"/>
  <c r="AG19" i="28" l="1"/>
  <c r="AG18" i="31"/>
  <c r="AH11" i="18"/>
  <c r="K18" i="24"/>
  <c r="Q18" i="32"/>
  <c r="M18" i="33"/>
  <c r="AG17" i="31"/>
  <c r="AH11" i="16"/>
  <c r="Q17" i="32"/>
  <c r="K17" i="24"/>
  <c r="M17" i="33"/>
  <c r="AI25" i="12"/>
  <c r="AG82" i="20"/>
  <c r="Q19" i="29"/>
  <c r="R12" i="9"/>
  <c r="R13" i="9" s="1"/>
  <c r="AG24" i="34"/>
  <c r="Q24" i="35"/>
  <c r="AH40" i="17"/>
  <c r="AH41" i="17" s="1"/>
  <c r="AH14" i="31"/>
  <c r="AI24" i="11"/>
  <c r="Z10" i="34"/>
  <c r="AH19" i="34"/>
  <c r="AH12" i="16"/>
  <c r="AH26" i="16"/>
  <c r="AJ27" i="16" s="1"/>
  <c r="AH14" i="34"/>
  <c r="AI11" i="13"/>
  <c r="AH9" i="19"/>
  <c r="AH11" i="19" s="1"/>
  <c r="AH22" i="19" s="1"/>
  <c r="AH23" i="19" s="1"/>
  <c r="AH30" i="15"/>
  <c r="AH9" i="20"/>
  <c r="AH10" i="20" s="1"/>
  <c r="AG25" i="34"/>
  <c r="Q25" i="35"/>
  <c r="AH36" i="15"/>
  <c r="S20" i="31"/>
  <c r="S21" i="31" s="1"/>
  <c r="S23" i="9" s="1"/>
  <c r="T75" i="20"/>
  <c r="AI53" i="12"/>
  <c r="AI54" i="12" s="1"/>
  <c r="AI11" i="11"/>
  <c r="AI12" i="11" s="1"/>
  <c r="AI23" i="10"/>
  <c r="AI24" i="10" s="1"/>
  <c r="Z35" i="20"/>
  <c r="Z36" i="20" s="1"/>
  <c r="AA33" i="20" s="1"/>
  <c r="Z40" i="20"/>
  <c r="Z41" i="20" s="1"/>
  <c r="Z46" i="20" s="1"/>
  <c r="Z47" i="20" s="1"/>
  <c r="S11" i="34"/>
  <c r="S12" i="34" s="1"/>
  <c r="AN29" i="17"/>
  <c r="AN14" i="17"/>
  <c r="AN21" i="34"/>
  <c r="AN12" i="18"/>
  <c r="Z48" i="19"/>
  <c r="Z51" i="19" s="1"/>
  <c r="Z36" i="19" s="1"/>
  <c r="AA37" i="19" s="1"/>
  <c r="Z32" i="19"/>
  <c r="Y21" i="28"/>
  <c r="Y22" i="28" s="1"/>
  <c r="X25" i="31"/>
  <c r="Y36" i="9"/>
  <c r="X28" i="9"/>
  <c r="X30" i="9" s="1"/>
  <c r="N25" i="32"/>
  <c r="AH29" i="13"/>
  <c r="AH31" i="13" s="1"/>
  <c r="AH14" i="13"/>
  <c r="AH13" i="28" l="1"/>
  <c r="AH14" i="28" s="1"/>
  <c r="AH39" i="16"/>
  <c r="AH40" i="16" s="1"/>
  <c r="AI16" i="19"/>
  <c r="AI17" i="19" s="1"/>
  <c r="AI42" i="15"/>
  <c r="AI20" i="15"/>
  <c r="AI25" i="11"/>
  <c r="AJ14" i="16"/>
  <c r="AJ28" i="16"/>
  <c r="AI16" i="37"/>
  <c r="AI63" i="12"/>
  <c r="AI65" i="12" s="1"/>
  <c r="AI71" i="12"/>
  <c r="AI73" i="12" s="1"/>
  <c r="AH42" i="17"/>
  <c r="AH46" i="17"/>
  <c r="AH47" i="17" s="1"/>
  <c r="AH33" i="17"/>
  <c r="AN18" i="34"/>
  <c r="T66" i="20"/>
  <c r="T68" i="20" s="1"/>
  <c r="AA26" i="20"/>
  <c r="AA27" i="20" s="1"/>
  <c r="AI10" i="37"/>
  <c r="AI24" i="12"/>
  <c r="AI26" i="12" s="1"/>
  <c r="AI31" i="12" s="1"/>
  <c r="AI33" i="12" s="1"/>
  <c r="AJ20" i="10"/>
  <c r="Z19" i="31"/>
  <c r="AA29" i="19"/>
  <c r="R11" i="31"/>
  <c r="R12" i="31" s="1"/>
  <c r="R22" i="9" s="1"/>
  <c r="R24" i="9" s="1"/>
  <c r="R9" i="8"/>
  <c r="S11" i="9"/>
  <c r="L11" i="32"/>
  <c r="AH32" i="13"/>
  <c r="AH9" i="31" s="1"/>
  <c r="AI28" i="13"/>
  <c r="Y37" i="9"/>
  <c r="Y38" i="9" s="1"/>
  <c r="X27" i="31"/>
  <c r="X16" i="22"/>
  <c r="N27" i="32"/>
  <c r="AA38" i="19"/>
  <c r="AA31" i="19"/>
  <c r="S15" i="34"/>
  <c r="AH15" i="31"/>
  <c r="AI28" i="15"/>
  <c r="AH27" i="18"/>
  <c r="AH28" i="18" s="1"/>
  <c r="AH40" i="18"/>
  <c r="AH41" i="18" s="1"/>
  <c r="AH49" i="19"/>
  <c r="AH30" i="19"/>
  <c r="AH20" i="20"/>
  <c r="AH21" i="20" s="1"/>
  <c r="AH34" i="20" s="1"/>
  <c r="AH14" i="20"/>
  <c r="AH15" i="20" s="1"/>
  <c r="Z48" i="20"/>
  <c r="Z81" i="20"/>
  <c r="Z76" i="20"/>
  <c r="AH39" i="20" l="1"/>
  <c r="AH25" i="20"/>
  <c r="AH48" i="17"/>
  <c r="AH34" i="17"/>
  <c r="AH35" i="17" s="1"/>
  <c r="AH13" i="17" s="1"/>
  <c r="AH15" i="17" s="1"/>
  <c r="AJ20" i="34"/>
  <c r="R20" i="35"/>
  <c r="AH45" i="16"/>
  <c r="AH46" i="16" s="1"/>
  <c r="AH32" i="16"/>
  <c r="AH41" i="16"/>
  <c r="S26" i="34"/>
  <c r="R23" i="31"/>
  <c r="R15" i="22"/>
  <c r="R17" i="22" s="1"/>
  <c r="R21" i="22" s="1"/>
  <c r="L23" i="32"/>
  <c r="AA40" i="20"/>
  <c r="AA41" i="20" s="1"/>
  <c r="AA46" i="20" s="1"/>
  <c r="AA47" i="20" s="1"/>
  <c r="AA35" i="20"/>
  <c r="AA36" i="20" s="1"/>
  <c r="AB33" i="20" s="1"/>
  <c r="AH16" i="28"/>
  <c r="AI21" i="19"/>
  <c r="AI21" i="15"/>
  <c r="AI43" i="15"/>
  <c r="AI45" i="15" s="1"/>
  <c r="AA48" i="19"/>
  <c r="AA51" i="19" s="1"/>
  <c r="AA36" i="19" s="1"/>
  <c r="AB37" i="19" s="1"/>
  <c r="AA32" i="19"/>
  <c r="AH46" i="18"/>
  <c r="AH47" i="18" s="1"/>
  <c r="AH42" i="18"/>
  <c r="AH33" i="18"/>
  <c r="AA10" i="34"/>
  <c r="O10" i="35"/>
  <c r="T77" i="20"/>
  <c r="T78" i="20" s="1"/>
  <c r="T69" i="20"/>
  <c r="AH29" i="18"/>
  <c r="AH14" i="18"/>
  <c r="Y25" i="31"/>
  <c r="Z36" i="9"/>
  <c r="Y28" i="9"/>
  <c r="Y30" i="9" s="1"/>
  <c r="AJ28" i="10"/>
  <c r="AK22" i="15"/>
  <c r="AI15" i="37"/>
  <c r="AJ60" i="12"/>
  <c r="Z21" i="28"/>
  <c r="Z22" i="28" s="1"/>
  <c r="AI11" i="37"/>
  <c r="AI20" i="17"/>
  <c r="AI22" i="17" s="1"/>
  <c r="AI13" i="15"/>
  <c r="AI14" i="15" s="1"/>
  <c r="AI21" i="13"/>
  <c r="AI23" i="13" s="1"/>
  <c r="AI39" i="12"/>
  <c r="AO41" i="12" s="1"/>
  <c r="AI48" i="12"/>
  <c r="AI50" i="12" s="1"/>
  <c r="AI17" i="9"/>
  <c r="AI18" i="9" s="1"/>
  <c r="AI17" i="37"/>
  <c r="AI17" i="11"/>
  <c r="AI18" i="11" s="1"/>
  <c r="AJ70" i="12"/>
  <c r="AH16" i="31" l="1"/>
  <c r="AI11" i="17"/>
  <c r="AI17" i="34"/>
  <c r="AI27" i="17"/>
  <c r="AO28" i="17" s="1"/>
  <c r="AI12" i="17"/>
  <c r="AH22" i="34"/>
  <c r="T11" i="34"/>
  <c r="T12" i="34" s="1"/>
  <c r="AA19" i="31"/>
  <c r="AB29" i="19"/>
  <c r="L19" i="33"/>
  <c r="O19" i="32"/>
  <c r="S29" i="34"/>
  <c r="T20" i="31"/>
  <c r="T21" i="31" s="1"/>
  <c r="T23" i="9" s="1"/>
  <c r="U75" i="20"/>
  <c r="AB38" i="19"/>
  <c r="AB31" i="19"/>
  <c r="AB26" i="20"/>
  <c r="AB27" i="20" s="1"/>
  <c r="AH17" i="28"/>
  <c r="AH23" i="34"/>
  <c r="AI29" i="15"/>
  <c r="AI10" i="12"/>
  <c r="AI11" i="12" s="1"/>
  <c r="AA76" i="20"/>
  <c r="AA48" i="20"/>
  <c r="AA81" i="20"/>
  <c r="AI10" i="31"/>
  <c r="AJ41" i="15"/>
  <c r="Y27" i="31"/>
  <c r="Y16" i="22"/>
  <c r="AH33" i="16"/>
  <c r="AH34" i="16" s="1"/>
  <c r="AH13" i="16" s="1"/>
  <c r="AH15" i="16" s="1"/>
  <c r="AH47" i="16"/>
  <c r="AI12" i="37"/>
  <c r="AJ47" i="12"/>
  <c r="AI12" i="13"/>
  <c r="AI13" i="13" s="1"/>
  <c r="AO13" i="37"/>
  <c r="AO20" i="18"/>
  <c r="AO22" i="18" s="1"/>
  <c r="AO49" i="12"/>
  <c r="AO61" i="12"/>
  <c r="Z37" i="9"/>
  <c r="Z38" i="9"/>
  <c r="AK8" i="34"/>
  <c r="AK44" i="15"/>
  <c r="AH48" i="18"/>
  <c r="AH34" i="18"/>
  <c r="AI8" i="28"/>
  <c r="AI11" i="28" s="1"/>
  <c r="AI19" i="16"/>
  <c r="AI21" i="16" s="1"/>
  <c r="AI26" i="11"/>
  <c r="AI27" i="11" s="1"/>
  <c r="AJ27" i="10"/>
  <c r="AJ29" i="10" s="1"/>
  <c r="AH35" i="18"/>
  <c r="AH13" i="18" s="1"/>
  <c r="AH15" i="18" s="1"/>
  <c r="AI8" i="31"/>
  <c r="AJ20" i="13"/>
  <c r="AI32" i="15"/>
  <c r="AI15" i="15"/>
  <c r="AH18" i="28"/>
  <c r="AH17" i="31" l="1"/>
  <c r="AI11" i="16"/>
  <c r="AI14" i="31"/>
  <c r="AJ24" i="11"/>
  <c r="AI19" i="34"/>
  <c r="AI26" i="16"/>
  <c r="AK27" i="16" s="1"/>
  <c r="AI12" i="16"/>
  <c r="AH24" i="34"/>
  <c r="AA21" i="28"/>
  <c r="AA22" i="28" s="1"/>
  <c r="O21" i="29"/>
  <c r="U66" i="20"/>
  <c r="U68" i="20" s="1"/>
  <c r="AB10" i="34"/>
  <c r="AI9" i="20"/>
  <c r="AI10" i="20" s="1"/>
  <c r="AI9" i="19"/>
  <c r="AI11" i="19" s="1"/>
  <c r="AI22" i="19" s="1"/>
  <c r="AI23" i="19" s="1"/>
  <c r="AI30" i="15"/>
  <c r="AI36" i="15" s="1"/>
  <c r="T15" i="34"/>
  <c r="AH18" i="31"/>
  <c r="AI11" i="18"/>
  <c r="AI14" i="34"/>
  <c r="AJ53" i="12"/>
  <c r="AJ54" i="12" s="1"/>
  <c r="AJ11" i="11"/>
  <c r="AJ12" i="11" s="1"/>
  <c r="AJ23" i="10"/>
  <c r="AJ24" i="10" s="1"/>
  <c r="AH25" i="34"/>
  <c r="AO21" i="34"/>
  <c r="AO12" i="18"/>
  <c r="AH19" i="28"/>
  <c r="AO29" i="17"/>
  <c r="AO14" i="17"/>
  <c r="Z25" i="31"/>
  <c r="Z28" i="9"/>
  <c r="Z30" i="9" s="1"/>
  <c r="AA36" i="9"/>
  <c r="S12" i="9"/>
  <c r="S13" i="9" s="1"/>
  <c r="AJ11" i="13"/>
  <c r="AI29" i="13"/>
  <c r="AI31" i="13" s="1"/>
  <c r="AI14" i="13"/>
  <c r="AB35" i="20"/>
  <c r="AB36" i="20" s="1"/>
  <c r="AC33" i="20" s="1"/>
  <c r="AB40" i="20"/>
  <c r="AB41" i="20" s="1"/>
  <c r="AB46" i="20" s="1"/>
  <c r="AB47" i="20" s="1"/>
  <c r="AI40" i="17"/>
  <c r="AI41" i="17" s="1"/>
  <c r="AB48" i="19"/>
  <c r="AB51" i="19" s="1"/>
  <c r="AB36" i="19" s="1"/>
  <c r="AC37" i="19" s="1"/>
  <c r="AB32" i="19"/>
  <c r="AJ25" i="12"/>
  <c r="AI15" i="31" l="1"/>
  <c r="AJ28" i="15"/>
  <c r="AI32" i="13"/>
  <c r="AI9" i="31" s="1"/>
  <c r="AJ28" i="13"/>
  <c r="Z27" i="31"/>
  <c r="Z16" i="22"/>
  <c r="AJ16" i="37"/>
  <c r="AJ63" i="12"/>
  <c r="AJ65" i="12" s="1"/>
  <c r="AJ71" i="12"/>
  <c r="AJ73" i="12" s="1"/>
  <c r="R16" i="38"/>
  <c r="T26" i="34"/>
  <c r="AK14" i="16"/>
  <c r="AK28" i="16"/>
  <c r="AI13" i="28"/>
  <c r="AI14" i="28" s="1"/>
  <c r="AC38" i="19"/>
  <c r="AC31" i="19"/>
  <c r="AI30" i="19"/>
  <c r="AI49" i="19"/>
  <c r="AB19" i="31"/>
  <c r="AC29" i="19"/>
  <c r="AA37" i="9"/>
  <c r="AA38" i="9" s="1"/>
  <c r="O22" i="29"/>
  <c r="AH82" i="20"/>
  <c r="AJ16" i="19"/>
  <c r="AJ17" i="19" s="1"/>
  <c r="AJ42" i="15"/>
  <c r="AJ20" i="15"/>
  <c r="AJ25" i="11"/>
  <c r="AB81" i="20"/>
  <c r="AB48" i="20"/>
  <c r="AB76" i="20"/>
  <c r="S11" i="31"/>
  <c r="S12" i="31" s="1"/>
  <c r="S22" i="9" s="1"/>
  <c r="S24" i="9" s="1"/>
  <c r="T11" i="9"/>
  <c r="S9" i="8"/>
  <c r="AI27" i="18"/>
  <c r="AI28" i="18" s="1"/>
  <c r="AI40" i="18"/>
  <c r="AI41" i="18" s="1"/>
  <c r="U77" i="20"/>
  <c r="U78" i="20" s="1"/>
  <c r="U69" i="20"/>
  <c r="AI39" i="16"/>
  <c r="AI40" i="16" s="1"/>
  <c r="AO18" i="34"/>
  <c r="AI46" i="17"/>
  <c r="AI47" i="17" s="1"/>
  <c r="AI42" i="17"/>
  <c r="AI33" i="17"/>
  <c r="AC26" i="20"/>
  <c r="AC27" i="20" s="1"/>
  <c r="AJ10" i="37"/>
  <c r="AJ24" i="12"/>
  <c r="AJ26" i="12" s="1"/>
  <c r="AJ31" i="12" s="1"/>
  <c r="AJ33" i="12" s="1"/>
  <c r="AK20" i="10"/>
  <c r="R10" i="38"/>
  <c r="AI20" i="20"/>
  <c r="AI21" i="20" s="1"/>
  <c r="AI34" i="20" s="1"/>
  <c r="AI14" i="20"/>
  <c r="AI15" i="20" s="1"/>
  <c r="AA25" i="31" l="1"/>
  <c r="AB36" i="9"/>
  <c r="AA28" i="9"/>
  <c r="AA30" i="9" s="1"/>
  <c r="O25" i="32"/>
  <c r="L25" i="33"/>
  <c r="AJ15" i="37"/>
  <c r="AK60" i="12"/>
  <c r="R15" i="38"/>
  <c r="AJ21" i="19"/>
  <c r="AJ43" i="15"/>
  <c r="AJ21" i="15"/>
  <c r="AC40" i="20"/>
  <c r="AC41" i="20" s="1"/>
  <c r="AC46" i="20" s="1"/>
  <c r="AC47" i="20" s="1"/>
  <c r="AC35" i="20"/>
  <c r="AC36" i="20" s="1"/>
  <c r="AD33" i="20" s="1"/>
  <c r="S23" i="31"/>
  <c r="S15" i="22"/>
  <c r="S17" i="22" s="1"/>
  <c r="S21" i="22" s="1"/>
  <c r="AC10" i="34"/>
  <c r="T29" i="34"/>
  <c r="U20" i="31"/>
  <c r="U21" i="31" s="1"/>
  <c r="V75" i="20"/>
  <c r="K20" i="33"/>
  <c r="J20" i="24"/>
  <c r="M20" i="32"/>
  <c r="AB21" i="28"/>
  <c r="AB22" i="28" s="1"/>
  <c r="AC48" i="19"/>
  <c r="AC51" i="19" s="1"/>
  <c r="AC36" i="19" s="1"/>
  <c r="AD37" i="19" s="1"/>
  <c r="AC32" i="19"/>
  <c r="AI39" i="20"/>
  <c r="AI25" i="20"/>
  <c r="AK28" i="10"/>
  <c r="AI42" i="18"/>
  <c r="AI33" i="18"/>
  <c r="AI46" i="18"/>
  <c r="AI47" i="18" s="1"/>
  <c r="AJ45" i="15"/>
  <c r="AI41" i="16"/>
  <c r="AI45" i="16"/>
  <c r="AI46" i="16" s="1"/>
  <c r="AI32" i="16"/>
  <c r="U11" i="34"/>
  <c r="U12" i="34" s="1"/>
  <c r="M11" i="35"/>
  <c r="AI16" i="28"/>
  <c r="AI34" i="17"/>
  <c r="AI35" i="17" s="1"/>
  <c r="AI13" i="17" s="1"/>
  <c r="AI15" i="17" s="1"/>
  <c r="AI48" i="17"/>
  <c r="AJ11" i="37"/>
  <c r="AJ20" i="17"/>
  <c r="AJ22" i="17" s="1"/>
  <c r="AJ13" i="15"/>
  <c r="AJ14" i="15" s="1"/>
  <c r="AJ21" i="13"/>
  <c r="AJ23" i="13" s="1"/>
  <c r="AJ48" i="12"/>
  <c r="AJ50" i="12" s="1"/>
  <c r="AJ39" i="12"/>
  <c r="AP41" i="12" s="1"/>
  <c r="AJ17" i="9"/>
  <c r="AJ18" i="9" s="1"/>
  <c r="R11" i="38"/>
  <c r="AI14" i="18"/>
  <c r="AI29" i="18"/>
  <c r="AL22" i="15"/>
  <c r="AK20" i="34"/>
  <c r="AJ17" i="37"/>
  <c r="AK70" i="12"/>
  <c r="AJ17" i="11"/>
  <c r="AJ18" i="11" s="1"/>
  <c r="R17" i="38"/>
  <c r="AI16" i="31" l="1"/>
  <c r="AJ11" i="17"/>
  <c r="AJ8" i="28"/>
  <c r="AJ11" i="28" s="1"/>
  <c r="AJ19" i="16"/>
  <c r="AJ21" i="16" s="1"/>
  <c r="AJ26" i="11"/>
  <c r="AJ27" i="11" s="1"/>
  <c r="R8" i="29"/>
  <c r="AI22" i="34"/>
  <c r="AJ8" i="31"/>
  <c r="AK20" i="13"/>
  <c r="R8" i="32"/>
  <c r="AD31" i="19"/>
  <c r="AD38" i="19"/>
  <c r="U23" i="9"/>
  <c r="K21" i="33"/>
  <c r="M21" i="32"/>
  <c r="J21" i="24"/>
  <c r="AK27" i="10"/>
  <c r="AK29" i="10" s="1"/>
  <c r="AL8" i="34"/>
  <c r="AL44" i="15"/>
  <c r="AI18" i="28"/>
  <c r="V66" i="20"/>
  <c r="V68" i="20" s="1"/>
  <c r="AD26" i="20"/>
  <c r="AD27" i="20" s="1"/>
  <c r="T12" i="9"/>
  <c r="T13" i="9" s="1"/>
  <c r="AC76" i="20"/>
  <c r="AC48" i="20"/>
  <c r="AC81" i="20"/>
  <c r="AB37" i="9"/>
  <c r="AI23" i="34"/>
  <c r="AA27" i="31"/>
  <c r="AA16" i="22"/>
  <c r="L27" i="33"/>
  <c r="O27" i="32"/>
  <c r="AJ10" i="31"/>
  <c r="AK41" i="15"/>
  <c r="R10" i="32"/>
  <c r="AJ15" i="15"/>
  <c r="AJ32" i="15"/>
  <c r="AJ17" i="34"/>
  <c r="AJ27" i="17"/>
  <c r="AP28" i="17" s="1"/>
  <c r="AJ12" i="17"/>
  <c r="R17" i="35"/>
  <c r="AJ29" i="15"/>
  <c r="AJ10" i="12"/>
  <c r="AJ11" i="12" s="1"/>
  <c r="AI48" i="18"/>
  <c r="AI34" i="18"/>
  <c r="AB38" i="9"/>
  <c r="AJ12" i="37"/>
  <c r="AJ12" i="13"/>
  <c r="AJ13" i="13" s="1"/>
  <c r="AK47" i="12"/>
  <c r="R12" i="38"/>
  <c r="AC19" i="31"/>
  <c r="AD29" i="19"/>
  <c r="U15" i="34"/>
  <c r="M12" i="35"/>
  <c r="AI47" i="16"/>
  <c r="AI33" i="16"/>
  <c r="AI34" i="16" s="1"/>
  <c r="AI13" i="16" s="1"/>
  <c r="AI15" i="16" s="1"/>
  <c r="AP13" i="37"/>
  <c r="AP20" i="18"/>
  <c r="AP22" i="18" s="1"/>
  <c r="AP61" i="12"/>
  <c r="AP49" i="12"/>
  <c r="T13" i="38"/>
  <c r="AI17" i="28"/>
  <c r="AI19" i="28" s="1"/>
  <c r="AI35" i="18"/>
  <c r="AI13" i="18" s="1"/>
  <c r="AI15" i="18" s="1"/>
  <c r="AI17" i="31" l="1"/>
  <c r="AJ11" i="16"/>
  <c r="AI82" i="20"/>
  <c r="AK53" i="12"/>
  <c r="AK54" i="12" s="1"/>
  <c r="AK11" i="11"/>
  <c r="AK12" i="11" s="1"/>
  <c r="AK23" i="10"/>
  <c r="AK24" i="10" s="1"/>
  <c r="AK11" i="13"/>
  <c r="AC21" i="28"/>
  <c r="AC22" i="28" s="1"/>
  <c r="AJ14" i="31"/>
  <c r="AK24" i="11"/>
  <c r="R14" i="32"/>
  <c r="V77" i="20"/>
  <c r="V78" i="20" s="1"/>
  <c r="V69" i="20"/>
  <c r="AP14" i="17"/>
  <c r="AP29" i="17"/>
  <c r="T11" i="31"/>
  <c r="T12" i="31" s="1"/>
  <c r="T22" i="9" s="1"/>
  <c r="T24" i="9" s="1"/>
  <c r="T9" i="8"/>
  <c r="U11" i="9"/>
  <c r="AJ19" i="34"/>
  <c r="AJ12" i="16"/>
  <c r="AJ26" i="16"/>
  <c r="AL27" i="16" s="1"/>
  <c r="R19" i="35"/>
  <c r="AP21" i="34"/>
  <c r="AP12" i="18"/>
  <c r="T21" i="35"/>
  <c r="AI25" i="34"/>
  <c r="AJ9" i="20"/>
  <c r="AJ10" i="20" s="1"/>
  <c r="R11" i="29"/>
  <c r="U26" i="34"/>
  <c r="M15" i="35"/>
  <c r="AD48" i="19"/>
  <c r="AD51" i="19" s="1"/>
  <c r="AD36" i="19" s="1"/>
  <c r="AE37" i="19" s="1"/>
  <c r="AD32" i="19"/>
  <c r="AK25" i="12"/>
  <c r="AB25" i="31"/>
  <c r="AC36" i="9"/>
  <c r="AB28" i="9"/>
  <c r="AB30" i="9" s="1"/>
  <c r="AJ9" i="19"/>
  <c r="AJ11" i="19" s="1"/>
  <c r="AJ22" i="19" s="1"/>
  <c r="AJ23" i="19" s="1"/>
  <c r="AJ30" i="15"/>
  <c r="AJ36" i="15" s="1"/>
  <c r="AJ29" i="13"/>
  <c r="AJ31" i="13" s="1"/>
  <c r="AJ14" i="13"/>
  <c r="AJ14" i="34"/>
  <c r="R14" i="35"/>
  <c r="AD35" i="20"/>
  <c r="AD36" i="20" s="1"/>
  <c r="AE33" i="20" s="1"/>
  <c r="AD40" i="20"/>
  <c r="AD41" i="20" s="1"/>
  <c r="AD46" i="20" s="1"/>
  <c r="AD47" i="20" s="1"/>
  <c r="AD10" i="34"/>
  <c r="P10" i="35"/>
  <c r="AJ40" i="17"/>
  <c r="AJ41" i="17" s="1"/>
  <c r="AI18" i="31"/>
  <c r="AJ11" i="18"/>
  <c r="AI24" i="34"/>
  <c r="U29" i="34" l="1"/>
  <c r="M26" i="35"/>
  <c r="AP18" i="34"/>
  <c r="T18" i="35"/>
  <c r="AL14" i="16"/>
  <c r="AL28" i="16"/>
  <c r="V11" i="34"/>
  <c r="V12" i="34" s="1"/>
  <c r="AC37" i="9"/>
  <c r="AC38" i="9" s="1"/>
  <c r="V20" i="31"/>
  <c r="V21" i="31" s="1"/>
  <c r="V23" i="9" s="1"/>
  <c r="W75" i="20"/>
  <c r="AB27" i="31"/>
  <c r="AB16" i="22"/>
  <c r="AD76" i="20"/>
  <c r="AD81" i="20"/>
  <c r="AD48" i="20"/>
  <c r="AJ32" i="13"/>
  <c r="AK28" i="13"/>
  <c r="AJ20" i="20"/>
  <c r="AJ21" i="20" s="1"/>
  <c r="AJ34" i="20" s="1"/>
  <c r="AJ14" i="20"/>
  <c r="AJ15" i="20" s="1"/>
  <c r="AK16" i="37"/>
  <c r="AK71" i="12"/>
  <c r="AK73" i="12" s="1"/>
  <c r="AK63" i="12"/>
  <c r="AK65" i="12" s="1"/>
  <c r="AJ46" i="17"/>
  <c r="AJ47" i="17" s="1"/>
  <c r="AJ33" i="17"/>
  <c r="AJ42" i="17"/>
  <c r="AJ15" i="31"/>
  <c r="AK28" i="15"/>
  <c r="R15" i="32"/>
  <c r="AJ13" i="28"/>
  <c r="AJ14" i="28" s="1"/>
  <c r="R13" i="29"/>
  <c r="AJ27" i="18"/>
  <c r="AJ28" i="18" s="1"/>
  <c r="AJ40" i="18"/>
  <c r="AJ41" i="18" s="1"/>
  <c r="AE26" i="20"/>
  <c r="AE27" i="20" s="1"/>
  <c r="AD19" i="31"/>
  <c r="AE29" i="19"/>
  <c r="P19" i="32"/>
  <c r="AK10" i="37"/>
  <c r="AL20" i="10"/>
  <c r="AK24" i="12"/>
  <c r="AK26" i="12" s="1"/>
  <c r="AK31" i="12" s="1"/>
  <c r="AK33" i="12" s="1"/>
  <c r="AJ39" i="16"/>
  <c r="AJ40" i="16" s="1"/>
  <c r="AJ49" i="19"/>
  <c r="AJ30" i="19"/>
  <c r="AE31" i="19"/>
  <c r="AE38" i="19"/>
  <c r="T23" i="31"/>
  <c r="T15" i="22"/>
  <c r="T17" i="22" s="1"/>
  <c r="T21" i="22" s="1"/>
  <c r="AK16" i="19"/>
  <c r="AK17" i="19" s="1"/>
  <c r="AK42" i="15"/>
  <c r="AK20" i="15"/>
  <c r="AK25" i="11"/>
  <c r="AC25" i="31" l="1"/>
  <c r="AD36" i="9"/>
  <c r="AC28" i="9"/>
  <c r="AC30" i="9" s="1"/>
  <c r="AJ46" i="18"/>
  <c r="AJ47" i="18" s="1"/>
  <c r="AJ33" i="18"/>
  <c r="AJ42" i="18"/>
  <c r="AK15" i="37"/>
  <c r="AL60" i="12"/>
  <c r="W66" i="20"/>
  <c r="W68" i="20" s="1"/>
  <c r="V15" i="34"/>
  <c r="AJ14" i="18"/>
  <c r="AJ29" i="18"/>
  <c r="AK17" i="37"/>
  <c r="AL70" i="12"/>
  <c r="AK17" i="11"/>
  <c r="AK18" i="11" s="1"/>
  <c r="AJ9" i="31"/>
  <c r="R9" i="32"/>
  <c r="AL20" i="34"/>
  <c r="AJ16" i="28"/>
  <c r="R16" i="29"/>
  <c r="AD21" i="28"/>
  <c r="AD22" i="28" s="1"/>
  <c r="P21" i="29"/>
  <c r="AJ34" i="17"/>
  <c r="AJ35" i="17" s="1"/>
  <c r="AJ13" i="17" s="1"/>
  <c r="AJ15" i="17" s="1"/>
  <c r="AJ48" i="17"/>
  <c r="AE48" i="19"/>
  <c r="AE51" i="19" s="1"/>
  <c r="AE36" i="19" s="1"/>
  <c r="AF37" i="19" s="1"/>
  <c r="AE32" i="19"/>
  <c r="AK21" i="19"/>
  <c r="AK21" i="15"/>
  <c r="AK43" i="15"/>
  <c r="AK45" i="15" s="1"/>
  <c r="AJ45" i="16"/>
  <c r="AJ46" i="16" s="1"/>
  <c r="AJ41" i="16"/>
  <c r="AJ32" i="16"/>
  <c r="R14" i="29"/>
  <c r="AE10" i="34"/>
  <c r="AK11" i="37"/>
  <c r="AK20" i="17"/>
  <c r="AK22" i="17" s="1"/>
  <c r="AK13" i="15"/>
  <c r="AK14" i="15" s="1"/>
  <c r="AK21" i="13"/>
  <c r="AK23" i="13" s="1"/>
  <c r="AK39" i="12"/>
  <c r="AQ41" i="12" s="1"/>
  <c r="AK48" i="12"/>
  <c r="AK50" i="12" s="1"/>
  <c r="AK17" i="9"/>
  <c r="AK18" i="9" s="1"/>
  <c r="AJ39" i="20"/>
  <c r="AJ25" i="20"/>
  <c r="AM22" i="15"/>
  <c r="AE40" i="20"/>
  <c r="AE41" i="20" s="1"/>
  <c r="AE46" i="20" s="1"/>
  <c r="AE47" i="20" s="1"/>
  <c r="AE35" i="20"/>
  <c r="AE36" i="20" s="1"/>
  <c r="AF33" i="20" s="1"/>
  <c r="AL28" i="10"/>
  <c r="U12" i="9"/>
  <c r="U13" i="9" s="1"/>
  <c r="M29" i="35"/>
  <c r="AK17" i="34" l="1"/>
  <c r="AK27" i="17"/>
  <c r="AQ28" i="17" s="1"/>
  <c r="AK12" i="17"/>
  <c r="AJ16" i="31"/>
  <c r="AK11" i="17"/>
  <c r="R16" i="32"/>
  <c r="AD37" i="9"/>
  <c r="AD38" i="9" s="1"/>
  <c r="P22" i="29"/>
  <c r="AJ18" i="28"/>
  <c r="R18" i="29"/>
  <c r="AE19" i="31"/>
  <c r="AF29" i="19"/>
  <c r="AK8" i="28"/>
  <c r="AK11" i="28" s="1"/>
  <c r="AK19" i="16"/>
  <c r="AK21" i="16" s="1"/>
  <c r="AK26" i="11"/>
  <c r="AK27" i="11" s="1"/>
  <c r="V26" i="34"/>
  <c r="AJ48" i="18"/>
  <c r="AJ34" i="18"/>
  <c r="AJ35" i="18" s="1"/>
  <c r="AJ13" i="18" s="1"/>
  <c r="AJ15" i="18" s="1"/>
  <c r="AF26" i="20"/>
  <c r="AF27" i="20" s="1"/>
  <c r="AK29" i="15"/>
  <c r="AK10" i="12"/>
  <c r="AK11" i="12" s="1"/>
  <c r="W69" i="20"/>
  <c r="W77" i="20"/>
  <c r="W78" i="20" s="1"/>
  <c r="AK32" i="15"/>
  <c r="AK15" i="15"/>
  <c r="AK10" i="31"/>
  <c r="AL41" i="15"/>
  <c r="AJ17" i="28"/>
  <c r="AJ19" i="28" s="1"/>
  <c r="R17" i="29"/>
  <c r="AJ33" i="16"/>
  <c r="AJ34" i="16" s="1"/>
  <c r="AJ13" i="16" s="1"/>
  <c r="AJ15" i="16" s="1"/>
  <c r="AJ47" i="16"/>
  <c r="AJ23" i="34"/>
  <c r="R23" i="35"/>
  <c r="AE81" i="20"/>
  <c r="AE76" i="20"/>
  <c r="AE48" i="20"/>
  <c r="AK12" i="37"/>
  <c r="AK12" i="13"/>
  <c r="AK13" i="13" s="1"/>
  <c r="AL47" i="12"/>
  <c r="AJ22" i="34"/>
  <c r="R22" i="35"/>
  <c r="AC27" i="31"/>
  <c r="AC16" i="22"/>
  <c r="AL27" i="10"/>
  <c r="AL29" i="10" s="1"/>
  <c r="U11" i="31"/>
  <c r="U12" i="31" s="1"/>
  <c r="U9" i="8"/>
  <c r="V11" i="9"/>
  <c r="M11" i="32"/>
  <c r="J11" i="24"/>
  <c r="K11" i="33"/>
  <c r="AF31" i="19"/>
  <c r="AF38" i="19"/>
  <c r="AM8" i="34"/>
  <c r="AM44" i="15"/>
  <c r="S8" i="35"/>
  <c r="AQ13" i="37"/>
  <c r="AQ20" i="18"/>
  <c r="AQ22" i="18" s="1"/>
  <c r="AQ61" i="12"/>
  <c r="AQ49" i="12"/>
  <c r="AK8" i="31"/>
  <c r="AL20" i="13"/>
  <c r="AJ17" i="31" l="1"/>
  <c r="AK11" i="16"/>
  <c r="R17" i="32"/>
  <c r="W11" i="34"/>
  <c r="W12" i="34" s="1"/>
  <c r="AK9" i="19"/>
  <c r="AK11" i="19" s="1"/>
  <c r="AK22" i="19" s="1"/>
  <c r="AK23" i="19" s="1"/>
  <c r="AK30" i="15"/>
  <c r="AK36" i="15" s="1"/>
  <c r="AK19" i="34"/>
  <c r="AK26" i="16"/>
  <c r="AM27" i="16" s="1"/>
  <c r="AK12" i="16"/>
  <c r="AK9" i="20"/>
  <c r="AK10" i="20" s="1"/>
  <c r="AK14" i="31"/>
  <c r="AL24" i="11"/>
  <c r="AD25" i="31"/>
  <c r="AD28" i="9"/>
  <c r="AD30" i="9" s="1"/>
  <c r="AE36" i="9"/>
  <c r="P25" i="32"/>
  <c r="AL53" i="12"/>
  <c r="AL54" i="12" s="1"/>
  <c r="AL11" i="11"/>
  <c r="AL12" i="11" s="1"/>
  <c r="AL23" i="10"/>
  <c r="AL24" i="10" s="1"/>
  <c r="AF48" i="19"/>
  <c r="AF51" i="19" s="1"/>
  <c r="AF36" i="19" s="1"/>
  <c r="AG37" i="19" s="1"/>
  <c r="AF32" i="19"/>
  <c r="AQ21" i="34"/>
  <c r="AQ12" i="18"/>
  <c r="AK29" i="13"/>
  <c r="AK31" i="13" s="1"/>
  <c r="AK14" i="13"/>
  <c r="AF40" i="20"/>
  <c r="AF41" i="20" s="1"/>
  <c r="AF46" i="20" s="1"/>
  <c r="AF47" i="20" s="1"/>
  <c r="AF35" i="20"/>
  <c r="AF36" i="20" s="1"/>
  <c r="AG33" i="20" s="1"/>
  <c r="V29" i="34"/>
  <c r="U22" i="9"/>
  <c r="U24" i="9" s="1"/>
  <c r="J12" i="24"/>
  <c r="K12" i="33"/>
  <c r="M12" i="32"/>
  <c r="AJ18" i="31"/>
  <c r="AK11" i="18"/>
  <c r="R18" i="32"/>
  <c r="AK40" i="17"/>
  <c r="AK41" i="17" s="1"/>
  <c r="AF10" i="34"/>
  <c r="AJ82" i="20"/>
  <c r="R19" i="29"/>
  <c r="AL25" i="12"/>
  <c r="AJ24" i="34"/>
  <c r="R24" i="35"/>
  <c r="AK14" i="34"/>
  <c r="AL11" i="13"/>
  <c r="AE21" i="28"/>
  <c r="AE22" i="28" s="1"/>
  <c r="AJ25" i="34"/>
  <c r="R25" i="35"/>
  <c r="AQ14" i="17"/>
  <c r="AQ29" i="17"/>
  <c r="W20" i="31"/>
  <c r="W21" i="31" s="1"/>
  <c r="W23" i="9" s="1"/>
  <c r="X75" i="20"/>
  <c r="AK49" i="19" l="1"/>
  <c r="AK30" i="19"/>
  <c r="U23" i="31"/>
  <c r="U15" i="22"/>
  <c r="U17" i="22" s="1"/>
  <c r="U21" i="22" s="1"/>
  <c r="J23" i="24"/>
  <c r="K23" i="33"/>
  <c r="M23" i="32"/>
  <c r="AK32" i="13"/>
  <c r="AK9" i="31" s="1"/>
  <c r="AL28" i="13"/>
  <c r="AL10" i="37"/>
  <c r="AM20" i="10"/>
  <c r="AL24" i="12"/>
  <c r="AL26" i="12" s="1"/>
  <c r="AL31" i="12" s="1"/>
  <c r="AL33" i="12" s="1"/>
  <c r="AQ18" i="34"/>
  <c r="AL16" i="19"/>
  <c r="AL17" i="19" s="1"/>
  <c r="AL42" i="15"/>
  <c r="AL20" i="15"/>
  <c r="AL25" i="11"/>
  <c r="AL16" i="37"/>
  <c r="AL71" i="12"/>
  <c r="AL73" i="12" s="1"/>
  <c r="AL63" i="12"/>
  <c r="AL65" i="12" s="1"/>
  <c r="X66" i="20"/>
  <c r="X68" i="20" s="1"/>
  <c r="AK27" i="18"/>
  <c r="AK28" i="18" s="1"/>
  <c r="AK40" i="18"/>
  <c r="AK41" i="18" s="1"/>
  <c r="W15" i="34"/>
  <c r="AK13" i="28"/>
  <c r="AK14" i="28" s="1"/>
  <c r="AE37" i="9"/>
  <c r="AE38" i="9" s="1"/>
  <c r="V12" i="9"/>
  <c r="V13" i="9" s="1"/>
  <c r="AK14" i="20"/>
  <c r="AK15" i="20" s="1"/>
  <c r="AK20" i="20"/>
  <c r="AK21" i="20" s="1"/>
  <c r="AK34" i="20" s="1"/>
  <c r="AM28" i="16"/>
  <c r="AM14" i="16"/>
  <c r="AK46" i="17"/>
  <c r="AK47" i="17" s="1"/>
  <c r="AK33" i="17"/>
  <c r="AK42" i="17"/>
  <c r="AG26" i="20"/>
  <c r="AG27" i="20" s="1"/>
  <c r="AF19" i="31"/>
  <c r="AG29" i="19"/>
  <c r="AD27" i="31"/>
  <c r="AD16" i="22"/>
  <c r="P27" i="32"/>
  <c r="AK39" i="16"/>
  <c r="AK40" i="16" s="1"/>
  <c r="AF81" i="20"/>
  <c r="AF76" i="20"/>
  <c r="AF48" i="20"/>
  <c r="AG31" i="19"/>
  <c r="AG38" i="19"/>
  <c r="AK15" i="31"/>
  <c r="AL28" i="15"/>
  <c r="AE25" i="31" l="1"/>
  <c r="AF36" i="9"/>
  <c r="AE28" i="9"/>
  <c r="AE30" i="9" s="1"/>
  <c r="W26" i="34"/>
  <c r="AL17" i="37"/>
  <c r="AM70" i="12"/>
  <c r="AL17" i="11"/>
  <c r="AL18" i="11" s="1"/>
  <c r="AL11" i="37"/>
  <c r="AL20" i="17"/>
  <c r="AL22" i="17" s="1"/>
  <c r="AL13" i="15"/>
  <c r="AL14" i="15" s="1"/>
  <c r="AL21" i="13"/>
  <c r="AL23" i="13" s="1"/>
  <c r="AL48" i="12"/>
  <c r="AL50" i="12" s="1"/>
  <c r="AL17" i="9"/>
  <c r="AL18" i="9" s="1"/>
  <c r="AL39" i="12"/>
  <c r="AR41" i="12" s="1"/>
  <c r="AG40" i="20"/>
  <c r="AG41" i="20" s="1"/>
  <c r="AG46" i="20" s="1"/>
  <c r="AG47" i="20" s="1"/>
  <c r="AG35" i="20"/>
  <c r="AG36" i="20" s="1"/>
  <c r="AH33" i="20" s="1"/>
  <c r="AK14" i="18"/>
  <c r="AK29" i="18"/>
  <c r="AM28" i="10"/>
  <c r="AK25" i="20"/>
  <c r="AK39" i="20"/>
  <c r="AK35" i="17"/>
  <c r="AK13" i="17" s="1"/>
  <c r="AK15" i="17" s="1"/>
  <c r="AK33" i="18"/>
  <c r="AK42" i="18"/>
  <c r="AK46" i="18"/>
  <c r="AK47" i="18" s="1"/>
  <c r="AG10" i="34"/>
  <c r="Q10" i="35"/>
  <c r="AK34" i="17"/>
  <c r="AK48" i="17"/>
  <c r="AF21" i="28"/>
  <c r="AF22" i="28" s="1"/>
  <c r="V11" i="31"/>
  <c r="V12" i="31" s="1"/>
  <c r="V22" i="9" s="1"/>
  <c r="V24" i="9" s="1"/>
  <c r="V9" i="8"/>
  <c r="W11" i="9"/>
  <c r="X77" i="20"/>
  <c r="X78" i="20" s="1"/>
  <c r="X69" i="20"/>
  <c r="AL21" i="19"/>
  <c r="AL43" i="15"/>
  <c r="AL45" i="15" s="1"/>
  <c r="AL21" i="15"/>
  <c r="AN22" i="15" s="1"/>
  <c r="AK45" i="16"/>
  <c r="AK46" i="16" s="1"/>
  <c r="AK41" i="16"/>
  <c r="AK32" i="16"/>
  <c r="AK16" i="28"/>
  <c r="AM20" i="34"/>
  <c r="S20" i="35"/>
  <c r="AG48" i="19"/>
  <c r="AG51" i="19" s="1"/>
  <c r="AG36" i="19" s="1"/>
  <c r="AH37" i="19" s="1"/>
  <c r="AG32" i="19"/>
  <c r="AL15" i="37"/>
  <c r="AM60" i="12"/>
  <c r="AN8" i="34" l="1"/>
  <c r="AN44" i="15"/>
  <c r="AL10" i="31"/>
  <c r="AM41" i="15"/>
  <c r="AL32" i="15"/>
  <c r="AL15" i="15"/>
  <c r="AK16" i="31"/>
  <c r="AL11" i="17"/>
  <c r="AL17" i="34"/>
  <c r="AL27" i="17"/>
  <c r="AR28" i="17" s="1"/>
  <c r="AL12" i="17"/>
  <c r="V23" i="31"/>
  <c r="V15" i="22"/>
  <c r="V17" i="22" s="1"/>
  <c r="V21" i="22" s="1"/>
  <c r="AK18" i="28"/>
  <c r="AG76" i="20"/>
  <c r="AG81" i="20"/>
  <c r="AG48" i="20"/>
  <c r="W29" i="34"/>
  <c r="AK17" i="28"/>
  <c r="AK47" i="16"/>
  <c r="AK33" i="16"/>
  <c r="AK34" i="16" s="1"/>
  <c r="AK13" i="16" s="1"/>
  <c r="AK15" i="16" s="1"/>
  <c r="AK48" i="18"/>
  <c r="AK34" i="18"/>
  <c r="AK35" i="18" s="1"/>
  <c r="AK13" i="18" s="1"/>
  <c r="AK15" i="18" s="1"/>
  <c r="AF37" i="9"/>
  <c r="AF38" i="9" s="1"/>
  <c r="AR13" i="37"/>
  <c r="AR20" i="18"/>
  <c r="AR22" i="18" s="1"/>
  <c r="AR61" i="12"/>
  <c r="AR49" i="12"/>
  <c r="AL8" i="28"/>
  <c r="AL11" i="28" s="1"/>
  <c r="AL19" i="16"/>
  <c r="AL21" i="16" s="1"/>
  <c r="AL26" i="11"/>
  <c r="AL27" i="11" s="1"/>
  <c r="AE27" i="31"/>
  <c r="AE16" i="22"/>
  <c r="AK23" i="34"/>
  <c r="AL29" i="15"/>
  <c r="AL10" i="12"/>
  <c r="AL11" i="12" s="1"/>
  <c r="AH26" i="20"/>
  <c r="AH27" i="20" s="1"/>
  <c r="AM27" i="10"/>
  <c r="AM29" i="10" s="1"/>
  <c r="AG19" i="31"/>
  <c r="AH29" i="19"/>
  <c r="Q19" i="32"/>
  <c r="K19" i="24"/>
  <c r="M19" i="33"/>
  <c r="X11" i="34"/>
  <c r="X12" i="34" s="1"/>
  <c r="N11" i="35"/>
  <c r="AL12" i="37"/>
  <c r="AL12" i="13"/>
  <c r="AL13" i="13" s="1"/>
  <c r="AM47" i="12"/>
  <c r="AH31" i="19"/>
  <c r="AH38" i="19"/>
  <c r="X20" i="31"/>
  <c r="X21" i="31" s="1"/>
  <c r="Y75" i="20"/>
  <c r="N20" i="32"/>
  <c r="AK22" i="34"/>
  <c r="AL8" i="31"/>
  <c r="AM20" i="13"/>
  <c r="AK19" i="28" l="1"/>
  <c r="AK18" i="31"/>
  <c r="AL11" i="18"/>
  <c r="AH10" i="34"/>
  <c r="X15" i="34"/>
  <c r="N12" i="35"/>
  <c r="AL19" i="34"/>
  <c r="AL26" i="16"/>
  <c r="AN27" i="16" s="1"/>
  <c r="AL12" i="16"/>
  <c r="AL9" i="20"/>
  <c r="AL10" i="20" s="1"/>
  <c r="AK82" i="20"/>
  <c r="AK25" i="34"/>
  <c r="AR29" i="17"/>
  <c r="AR14" i="17"/>
  <c r="AM53" i="12"/>
  <c r="AM54" i="12" s="1"/>
  <c r="AM11" i="11"/>
  <c r="AM12" i="11" s="1"/>
  <c r="AM23" i="10"/>
  <c r="AM24" i="10" s="1"/>
  <c r="AH35" i="20"/>
  <c r="AH36" i="20" s="1"/>
  <c r="AI33" i="20" s="1"/>
  <c r="AH40" i="20"/>
  <c r="AH41" i="20" s="1"/>
  <c r="AH46" i="20" s="1"/>
  <c r="AH47" i="20" s="1"/>
  <c r="AF25" i="31"/>
  <c r="AG36" i="9"/>
  <c r="AF28" i="9"/>
  <c r="AF30" i="9" s="1"/>
  <c r="AH48" i="19"/>
  <c r="AH51" i="19" s="1"/>
  <c r="AH36" i="19" s="1"/>
  <c r="AI37" i="19" s="1"/>
  <c r="AH32" i="19"/>
  <c r="AK24" i="34"/>
  <c r="AL40" i="17"/>
  <c r="AL41" i="17" s="1"/>
  <c r="AM25" i="12"/>
  <c r="AL29" i="13"/>
  <c r="AL31" i="13" s="1"/>
  <c r="AL14" i="13"/>
  <c r="Y66" i="20"/>
  <c r="Y68" i="20" s="1"/>
  <c r="AL9" i="19"/>
  <c r="AL11" i="19" s="1"/>
  <c r="AL22" i="19" s="1"/>
  <c r="AL23" i="19" s="1"/>
  <c r="AL30" i="15"/>
  <c r="AL36" i="15" s="1"/>
  <c r="AR21" i="34"/>
  <c r="AR12" i="18"/>
  <c r="W12" i="9"/>
  <c r="W13" i="9" s="1"/>
  <c r="AM11" i="13"/>
  <c r="X23" i="9"/>
  <c r="N21" i="32"/>
  <c r="AG21" i="28"/>
  <c r="AG22" i="28" s="1"/>
  <c r="Q21" i="29"/>
  <c r="AL14" i="34"/>
  <c r="AK17" i="31"/>
  <c r="AL11" i="16"/>
  <c r="AL14" i="31"/>
  <c r="AM24" i="11"/>
  <c r="AL15" i="31" l="1"/>
  <c r="AM28" i="15"/>
  <c r="AL32" i="13"/>
  <c r="AL9" i="31" s="1"/>
  <c r="AM28" i="13"/>
  <c r="AM10" i="37"/>
  <c r="AM24" i="12"/>
  <c r="AM26" i="12" s="1"/>
  <c r="AM31" i="12" s="1"/>
  <c r="AM33" i="12" s="1"/>
  <c r="AN20" i="10"/>
  <c r="N10" i="39"/>
  <c r="S10" i="38"/>
  <c r="AL14" i="20"/>
  <c r="AL15" i="20" s="1"/>
  <c r="AL20" i="20"/>
  <c r="AL21" i="20" s="1"/>
  <c r="AL34" i="20" s="1"/>
  <c r="AH19" i="31"/>
  <c r="AI29" i="19"/>
  <c r="AM16" i="19"/>
  <c r="AM17" i="19" s="1"/>
  <c r="AM42" i="15"/>
  <c r="AM20" i="15"/>
  <c r="AM25" i="11"/>
  <c r="X26" i="34"/>
  <c r="N15" i="35"/>
  <c r="AF27" i="31"/>
  <c r="AF16" i="22"/>
  <c r="AL49" i="19"/>
  <c r="AL30" i="19"/>
  <c r="AL46" i="17"/>
  <c r="AL47" i="17" s="1"/>
  <c r="AL33" i="17"/>
  <c r="AL42" i="17"/>
  <c r="AN14" i="16"/>
  <c r="AN28" i="16"/>
  <c r="AM16" i="37"/>
  <c r="AM71" i="12"/>
  <c r="AM73" i="12" s="1"/>
  <c r="AM63" i="12"/>
  <c r="AM65" i="12" s="1"/>
  <c r="S16" i="38"/>
  <c r="AG37" i="9"/>
  <c r="AG38" i="9" s="1"/>
  <c r="Q22" i="29"/>
  <c r="AR18" i="34"/>
  <c r="AI38" i="19"/>
  <c r="AI31" i="19"/>
  <c r="Y77" i="20"/>
  <c r="Y78" i="20" s="1"/>
  <c r="Y69" i="20"/>
  <c r="AH48" i="20"/>
  <c r="AH81" i="20"/>
  <c r="AH76" i="20"/>
  <c r="AL27" i="18"/>
  <c r="AL28" i="18" s="1"/>
  <c r="AL40" i="18"/>
  <c r="AL41" i="18" s="1"/>
  <c r="AL39" i="16"/>
  <c r="AL40" i="16" s="1"/>
  <c r="W11" i="31"/>
  <c r="W12" i="31" s="1"/>
  <c r="W22" i="9" s="1"/>
  <c r="W24" i="9" s="1"/>
  <c r="X11" i="9"/>
  <c r="W9" i="8"/>
  <c r="AL13" i="28"/>
  <c r="AL14" i="28" s="1"/>
  <c r="AI26" i="20"/>
  <c r="AI27" i="20" s="1"/>
  <c r="AG25" i="31" l="1"/>
  <c r="AH36" i="9"/>
  <c r="AG28" i="9"/>
  <c r="AG30" i="9" s="1"/>
  <c r="K25" i="24"/>
  <c r="M25" i="33"/>
  <c r="Q25" i="32"/>
  <c r="W23" i="31"/>
  <c r="W15" i="22"/>
  <c r="W17" i="22" s="1"/>
  <c r="W21" i="22" s="1"/>
  <c r="AN28" i="10"/>
  <c r="Y20" i="31"/>
  <c r="Y21" i="31" s="1"/>
  <c r="Y23" i="9" s="1"/>
  <c r="Z75" i="20"/>
  <c r="AM21" i="19"/>
  <c r="AM43" i="15"/>
  <c r="AM45" i="15" s="1"/>
  <c r="AM21" i="15"/>
  <c r="AO22" i="15" s="1"/>
  <c r="AM11" i="37"/>
  <c r="AM20" i="17"/>
  <c r="AM22" i="17" s="1"/>
  <c r="AM13" i="15"/>
  <c r="AM14" i="15" s="1"/>
  <c r="AM21" i="13"/>
  <c r="AM23" i="13" s="1"/>
  <c r="AM39" i="12"/>
  <c r="AS41" i="12" s="1"/>
  <c r="AM48" i="12"/>
  <c r="AM50" i="12" s="1"/>
  <c r="AM17" i="9"/>
  <c r="AM18" i="9" s="1"/>
  <c r="S11" i="38"/>
  <c r="AL41" i="16"/>
  <c r="AL45" i="16"/>
  <c r="AL46" i="16" s="1"/>
  <c r="AL32" i="16"/>
  <c r="AL16" i="28"/>
  <c r="AI48" i="19"/>
  <c r="AI51" i="19" s="1"/>
  <c r="AI36" i="19" s="1"/>
  <c r="AJ37" i="19" s="1"/>
  <c r="AI32" i="19"/>
  <c r="AH21" i="28"/>
  <c r="AH22" i="28" s="1"/>
  <c r="AN20" i="34"/>
  <c r="Y11" i="34"/>
  <c r="Y12" i="34" s="1"/>
  <c r="AI40" i="20"/>
  <c r="AI41" i="20" s="1"/>
  <c r="AI46" i="20" s="1"/>
  <c r="AI47" i="20" s="1"/>
  <c r="AI35" i="20"/>
  <c r="AI36" i="20" s="1"/>
  <c r="AJ33" i="20" s="1"/>
  <c r="AL33" i="18"/>
  <c r="AL46" i="18"/>
  <c r="AL47" i="18" s="1"/>
  <c r="AL42" i="18"/>
  <c r="AI10" i="34"/>
  <c r="AL34" i="17"/>
  <c r="AL35" i="17" s="1"/>
  <c r="AL13" i="17" s="1"/>
  <c r="AL15" i="17" s="1"/>
  <c r="AL48" i="17"/>
  <c r="AL29" i="18"/>
  <c r="AL14" i="18"/>
  <c r="AM15" i="37"/>
  <c r="AN60" i="12"/>
  <c r="N15" i="39"/>
  <c r="S15" i="38"/>
  <c r="AM17" i="37"/>
  <c r="AN70" i="12"/>
  <c r="AM17" i="11"/>
  <c r="AM18" i="11" s="1"/>
  <c r="S17" i="38"/>
  <c r="N17" i="39"/>
  <c r="X29" i="34"/>
  <c r="N26" i="35"/>
  <c r="AL39" i="20"/>
  <c r="AL25" i="20"/>
  <c r="AL16" i="31" l="1"/>
  <c r="AM11" i="17"/>
  <c r="AM10" i="31"/>
  <c r="AN41" i="15"/>
  <c r="S10" i="32"/>
  <c r="N10" i="33"/>
  <c r="AO8" i="34"/>
  <c r="AO44" i="15"/>
  <c r="AL48" i="18"/>
  <c r="AL34" i="18"/>
  <c r="AL35" i="18" s="1"/>
  <c r="AL13" i="18" s="1"/>
  <c r="AL15" i="18" s="1"/>
  <c r="AI19" i="31"/>
  <c r="AJ29" i="19"/>
  <c r="AM29" i="15"/>
  <c r="AM10" i="12"/>
  <c r="AM11" i="12" s="1"/>
  <c r="AJ38" i="19"/>
  <c r="AJ31" i="19"/>
  <c r="AM12" i="37"/>
  <c r="AM12" i="13"/>
  <c r="AM13" i="13" s="1"/>
  <c r="AN47" i="12"/>
  <c r="N12" i="39"/>
  <c r="S12" i="38"/>
  <c r="AS13" i="37"/>
  <c r="AS20" i="18"/>
  <c r="AS22" i="18" s="1"/>
  <c r="AS61" i="12"/>
  <c r="AS49" i="12"/>
  <c r="U13" i="38"/>
  <c r="Z66" i="20"/>
  <c r="Z68" i="20" s="1"/>
  <c r="AN27" i="10"/>
  <c r="AN29" i="10" s="1"/>
  <c r="AM8" i="31"/>
  <c r="AN20" i="13"/>
  <c r="N8" i="33"/>
  <c r="S8" i="32"/>
  <c r="AM15" i="15"/>
  <c r="AM32" i="15"/>
  <c r="X12" i="9"/>
  <c r="X13" i="9" s="1"/>
  <c r="N29" i="35"/>
  <c r="AL47" i="16"/>
  <c r="AL33" i="16"/>
  <c r="AL34" i="16" s="1"/>
  <c r="AL13" i="16" s="1"/>
  <c r="AL15" i="16" s="1"/>
  <c r="AM17" i="34"/>
  <c r="AM27" i="17"/>
  <c r="AS28" i="17" s="1"/>
  <c r="AM12" i="17"/>
  <c r="S17" i="35"/>
  <c r="AG27" i="31"/>
  <c r="AG16" i="22"/>
  <c r="K27" i="24"/>
  <c r="M27" i="33"/>
  <c r="Q27" i="32"/>
  <c r="AJ26" i="20"/>
  <c r="AJ27" i="20" s="1"/>
  <c r="AI76" i="20"/>
  <c r="AI48" i="20"/>
  <c r="AI81" i="20"/>
  <c r="AM8" i="28"/>
  <c r="AM11" i="28" s="1"/>
  <c r="AM19" i="16"/>
  <c r="AM21" i="16" s="1"/>
  <c r="AM26" i="11"/>
  <c r="AM27" i="11" s="1"/>
  <c r="S8" i="29"/>
  <c r="AL22" i="34"/>
  <c r="AH37" i="9"/>
  <c r="AH38" i="9" s="1"/>
  <c r="AL17" i="28"/>
  <c r="AL23" i="34"/>
  <c r="AL18" i="28"/>
  <c r="Y15" i="34"/>
  <c r="AL19" i="28" l="1"/>
  <c r="AL18" i="31"/>
  <c r="AM11" i="18"/>
  <c r="AL82" i="20"/>
  <c r="AL17" i="31"/>
  <c r="AM11" i="16"/>
  <c r="Z77" i="20"/>
  <c r="Z78" i="20" s="1"/>
  <c r="Z69" i="20"/>
  <c r="AN25" i="12"/>
  <c r="AJ48" i="19"/>
  <c r="AJ51" i="19" s="1"/>
  <c r="AJ36" i="19" s="1"/>
  <c r="AK37" i="19" s="1"/>
  <c r="AJ32" i="19"/>
  <c r="AM14" i="13"/>
  <c r="AM29" i="13"/>
  <c r="AM31" i="13" s="1"/>
  <c r="AJ40" i="20"/>
  <c r="AJ41" i="20" s="1"/>
  <c r="AJ46" i="20" s="1"/>
  <c r="AJ47" i="20" s="1"/>
  <c r="AJ35" i="20"/>
  <c r="AJ36" i="20" s="1"/>
  <c r="AK33" i="20" s="1"/>
  <c r="AM14" i="31"/>
  <c r="AN24" i="11"/>
  <c r="N14" i="33"/>
  <c r="S14" i="32"/>
  <c r="AN11" i="13"/>
  <c r="AS29" i="17"/>
  <c r="AS14" i="17"/>
  <c r="AS21" i="34"/>
  <c r="AS12" i="18"/>
  <c r="U21" i="35"/>
  <c r="AL25" i="34"/>
  <c r="Y26" i="34"/>
  <c r="AM19" i="34"/>
  <c r="AM26" i="16"/>
  <c r="AO27" i="16" s="1"/>
  <c r="AM12" i="16"/>
  <c r="S19" i="35"/>
  <c r="AM9" i="20"/>
  <c r="AM10" i="20" s="1"/>
  <c r="S11" i="29"/>
  <c r="AL24" i="34"/>
  <c r="X11" i="31"/>
  <c r="X12" i="31" s="1"/>
  <c r="X9" i="8"/>
  <c r="Y11" i="9"/>
  <c r="N11" i="32"/>
  <c r="AJ10" i="34"/>
  <c r="R10" i="35"/>
  <c r="AH25" i="31"/>
  <c r="AH28" i="9"/>
  <c r="AH30" i="9" s="1"/>
  <c r="AI36" i="9"/>
  <c r="AN53" i="12"/>
  <c r="AN54" i="12" s="1"/>
  <c r="AN11" i="11"/>
  <c r="AN12" i="11" s="1"/>
  <c r="AN23" i="10"/>
  <c r="AN24" i="10" s="1"/>
  <c r="AM40" i="17"/>
  <c r="AM41" i="17" s="1"/>
  <c r="AI21" i="28"/>
  <c r="AI22" i="28" s="1"/>
  <c r="AM14" i="34"/>
  <c r="S14" i="35"/>
  <c r="AM9" i="19"/>
  <c r="AM11" i="19" s="1"/>
  <c r="AM22" i="19" s="1"/>
  <c r="AM23" i="19" s="1"/>
  <c r="AM30" i="15"/>
  <c r="AM36" i="15" s="1"/>
  <c r="AM15" i="31" l="1"/>
  <c r="AN28" i="15"/>
  <c r="S15" i="32"/>
  <c r="N15" i="33"/>
  <c r="AM13" i="28"/>
  <c r="AM14" i="28" s="1"/>
  <c r="S13" i="29"/>
  <c r="Z20" i="31"/>
  <c r="Z21" i="31" s="1"/>
  <c r="Z23" i="9" s="1"/>
  <c r="AA75" i="20"/>
  <c r="AM39" i="16"/>
  <c r="AM40" i="16" s="1"/>
  <c r="AJ19" i="31"/>
  <c r="AK29" i="19"/>
  <c r="R19" i="32"/>
  <c r="AM33" i="17"/>
  <c r="AM42" i="17"/>
  <c r="AM46" i="17"/>
  <c r="AM47" i="17" s="1"/>
  <c r="AK38" i="19"/>
  <c r="AK31" i="19"/>
  <c r="AM14" i="20"/>
  <c r="AM15" i="20" s="1"/>
  <c r="AM20" i="20"/>
  <c r="AM21" i="20" s="1"/>
  <c r="AM34" i="20" s="1"/>
  <c r="Y29" i="34"/>
  <c r="AK26" i="20"/>
  <c r="AK27" i="20" s="1"/>
  <c r="AM49" i="19"/>
  <c r="AM30" i="19"/>
  <c r="AN16" i="19"/>
  <c r="AN17" i="19" s="1"/>
  <c r="AN42" i="15"/>
  <c r="AN20" i="15"/>
  <c r="AN25" i="11"/>
  <c r="AS18" i="34"/>
  <c r="U18" i="35"/>
  <c r="AJ81" i="20"/>
  <c r="AJ48" i="20"/>
  <c r="AJ76" i="20"/>
  <c r="AH27" i="31"/>
  <c r="AH16" i="22"/>
  <c r="AM40" i="18"/>
  <c r="AM41" i="18" s="1"/>
  <c r="AM27" i="18"/>
  <c r="AM28" i="18" s="1"/>
  <c r="AN10" i="37"/>
  <c r="AN24" i="12"/>
  <c r="AN26" i="12" s="1"/>
  <c r="AN31" i="12" s="1"/>
  <c r="AN33" i="12" s="1"/>
  <c r="AO20" i="10"/>
  <c r="AN16" i="37"/>
  <c r="AN63" i="12"/>
  <c r="AN65" i="12" s="1"/>
  <c r="AN71" i="12"/>
  <c r="AN73" i="12" s="1"/>
  <c r="AI37" i="9"/>
  <c r="AI38" i="9" s="1"/>
  <c r="X22" i="9"/>
  <c r="X24" i="9" s="1"/>
  <c r="N12" i="32"/>
  <c r="AO28" i="16"/>
  <c r="AO14" i="16"/>
  <c r="AM32" i="13"/>
  <c r="AN28" i="13"/>
  <c r="Z11" i="34"/>
  <c r="Z12" i="34" s="1"/>
  <c r="AI25" i="31" l="1"/>
  <c r="AJ36" i="9"/>
  <c r="AI28" i="9"/>
  <c r="AI30" i="9" s="1"/>
  <c r="AM16" i="28"/>
  <c r="S16" i="29"/>
  <c r="AA66" i="20"/>
  <c r="AA68" i="20" s="1"/>
  <c r="AK48" i="19"/>
  <c r="AK51" i="19" s="1"/>
  <c r="AK36" i="19" s="1"/>
  <c r="AL37" i="19" s="1"/>
  <c r="AK32" i="19"/>
  <c r="S14" i="29"/>
  <c r="AO28" i="10"/>
  <c r="AJ21" i="28"/>
  <c r="AJ22" i="28" s="1"/>
  <c r="R21" i="29"/>
  <c r="Y12" i="9"/>
  <c r="Y13" i="9" s="1"/>
  <c r="X23" i="31"/>
  <c r="X15" i="22"/>
  <c r="X17" i="22" s="1"/>
  <c r="X21" i="22" s="1"/>
  <c r="N23" i="32"/>
  <c r="AO20" i="34"/>
  <c r="AM39" i="20"/>
  <c r="AM25" i="20"/>
  <c r="Z15" i="34"/>
  <c r="AM29" i="18"/>
  <c r="AM14" i="18"/>
  <c r="AM33" i="18"/>
  <c r="AM46" i="18"/>
  <c r="AM47" i="18" s="1"/>
  <c r="AM42" i="18"/>
  <c r="AK40" i="20"/>
  <c r="AK41" i="20" s="1"/>
  <c r="AK46" i="20" s="1"/>
  <c r="AK47" i="20" s="1"/>
  <c r="AK35" i="20"/>
  <c r="AK36" i="20" s="1"/>
  <c r="AL33" i="20" s="1"/>
  <c r="AK10" i="34"/>
  <c r="AN11" i="37"/>
  <c r="AN20" i="17"/>
  <c r="AN22" i="17" s="1"/>
  <c r="AN13" i="15"/>
  <c r="AN14" i="15" s="1"/>
  <c r="AN21" i="13"/>
  <c r="AN23" i="13" s="1"/>
  <c r="AN39" i="12"/>
  <c r="AT41" i="12" s="1"/>
  <c r="AN48" i="12"/>
  <c r="AN50" i="12" s="1"/>
  <c r="AN17" i="9"/>
  <c r="AN18" i="9" s="1"/>
  <c r="AN21" i="19"/>
  <c r="AN43" i="15"/>
  <c r="AN45" i="15" s="1"/>
  <c r="AN21" i="15"/>
  <c r="AP22" i="15" s="1"/>
  <c r="AN17" i="37"/>
  <c r="AO70" i="12"/>
  <c r="AN17" i="11"/>
  <c r="AN18" i="11" s="1"/>
  <c r="AN15" i="37"/>
  <c r="AO60" i="12"/>
  <c r="AM9" i="31"/>
  <c r="N9" i="33"/>
  <c r="S9" i="32"/>
  <c r="AM48" i="17"/>
  <c r="AM34" i="17"/>
  <c r="AM35" i="17" s="1"/>
  <c r="AM13" i="17" s="1"/>
  <c r="AM15" i="17" s="1"/>
  <c r="AM45" i="16"/>
  <c r="AM46" i="16" s="1"/>
  <c r="AM32" i="16"/>
  <c r="AM41" i="16"/>
  <c r="AM16" i="31" l="1"/>
  <c r="AN11" i="17"/>
  <c r="S16" i="32"/>
  <c r="N16" i="33"/>
  <c r="AP8" i="34"/>
  <c r="AP44" i="15"/>
  <c r="T8" i="35"/>
  <c r="AN10" i="31"/>
  <c r="AO41" i="15"/>
  <c r="AM18" i="28"/>
  <c r="S18" i="29"/>
  <c r="AM47" i="16"/>
  <c r="AM33" i="16"/>
  <c r="AM34" i="16" s="1"/>
  <c r="AM13" i="16" s="1"/>
  <c r="AM15" i="16" s="1"/>
  <c r="AM34" i="18"/>
  <c r="AM48" i="18"/>
  <c r="AA77" i="20"/>
  <c r="AA78" i="20" s="1"/>
  <c r="AA69" i="20"/>
  <c r="Y11" i="31"/>
  <c r="Y12" i="31" s="1"/>
  <c r="Y22" i="9" s="1"/>
  <c r="Y24" i="9" s="1"/>
  <c r="Y9" i="8"/>
  <c r="Z11" i="9"/>
  <c r="AM23" i="34"/>
  <c r="S23" i="35"/>
  <c r="AN12" i="37"/>
  <c r="AN12" i="13"/>
  <c r="AN13" i="13" s="1"/>
  <c r="AO47" i="12"/>
  <c r="AT13" i="37"/>
  <c r="AT20" i="18"/>
  <c r="AT22" i="18" s="1"/>
  <c r="AT61" i="12"/>
  <c r="AT49" i="12"/>
  <c r="AK19" i="31"/>
  <c r="AL29" i="19"/>
  <c r="AL31" i="19"/>
  <c r="AL38" i="19"/>
  <c r="AI27" i="31"/>
  <c r="AI16" i="22"/>
  <c r="AN29" i="15"/>
  <c r="AN10" i="12"/>
  <c r="AN11" i="12" s="1"/>
  <c r="AN8" i="31"/>
  <c r="AO20" i="13"/>
  <c r="AN15" i="15"/>
  <c r="AN32" i="15"/>
  <c r="AL26" i="20"/>
  <c r="AL27" i="20" s="1"/>
  <c r="AN8" i="28"/>
  <c r="AN11" i="28" s="1"/>
  <c r="AN19" i="16"/>
  <c r="AN21" i="16" s="1"/>
  <c r="AN26" i="11"/>
  <c r="AN27" i="11" s="1"/>
  <c r="AM35" i="18"/>
  <c r="AM13" i="18" s="1"/>
  <c r="AM15" i="18" s="1"/>
  <c r="AM22" i="34"/>
  <c r="S22" i="35"/>
  <c r="AM17" i="28"/>
  <c r="S17" i="29"/>
  <c r="AO27" i="10"/>
  <c r="AO29" i="10" s="1"/>
  <c r="AN17" i="34"/>
  <c r="AN27" i="17"/>
  <c r="AT28" i="17" s="1"/>
  <c r="AN12" i="17"/>
  <c r="AK76" i="20"/>
  <c r="AK48" i="20"/>
  <c r="AK81" i="20"/>
  <c r="Z26" i="34"/>
  <c r="AJ37" i="9"/>
  <c r="AJ38" i="9" s="1"/>
  <c r="R22" i="29"/>
  <c r="AM19" i="28" l="1"/>
  <c r="AM17" i="31"/>
  <c r="AN11" i="16"/>
  <c r="N17" i="33"/>
  <c r="S17" i="32"/>
  <c r="AJ25" i="31"/>
  <c r="AK36" i="9"/>
  <c r="AJ28" i="9"/>
  <c r="AJ30" i="9" s="1"/>
  <c r="R25" i="32"/>
  <c r="AN14" i="34"/>
  <c r="AT21" i="34"/>
  <c r="AT12" i="18"/>
  <c r="AL48" i="19"/>
  <c r="AL51" i="19" s="1"/>
  <c r="AL36" i="19" s="1"/>
  <c r="AM37" i="19" s="1"/>
  <c r="AL32" i="19"/>
  <c r="AM24" i="34"/>
  <c r="S24" i="35"/>
  <c r="AN19" i="34"/>
  <c r="AN12" i="16"/>
  <c r="AN26" i="16"/>
  <c r="AP27" i="16" s="1"/>
  <c r="AO25" i="12"/>
  <c r="Y23" i="31"/>
  <c r="Y15" i="22"/>
  <c r="Y17" i="22" s="1"/>
  <c r="Y21" i="22" s="1"/>
  <c r="AN14" i="31"/>
  <c r="AO24" i="11"/>
  <c r="AN29" i="13"/>
  <c r="AN31" i="13" s="1"/>
  <c r="AN14" i="13"/>
  <c r="AA20" i="31"/>
  <c r="AA21" i="31" s="1"/>
  <c r="AB75" i="20"/>
  <c r="O20" i="32"/>
  <c r="L20" i="33"/>
  <c r="AM82" i="20"/>
  <c r="S19" i="29"/>
  <c r="AN9" i="20"/>
  <c r="AN10" i="20" s="1"/>
  <c r="AA11" i="34"/>
  <c r="AA12" i="34" s="1"/>
  <c r="O11" i="35"/>
  <c r="AO11" i="13"/>
  <c r="AT29" i="17"/>
  <c r="AT14" i="17"/>
  <c r="AN9" i="19"/>
  <c r="AN11" i="19" s="1"/>
  <c r="AN22" i="19" s="1"/>
  <c r="AN23" i="19" s="1"/>
  <c r="AN30" i="15"/>
  <c r="AN36" i="15" s="1"/>
  <c r="Z29" i="34"/>
  <c r="AK21" i="28"/>
  <c r="AK22" i="28" s="1"/>
  <c r="AM18" i="31"/>
  <c r="AN11" i="18"/>
  <c r="N18" i="33"/>
  <c r="S18" i="32"/>
  <c r="AL35" i="20"/>
  <c r="AL36" i="20" s="1"/>
  <c r="AM33" i="20" s="1"/>
  <c r="AL40" i="20"/>
  <c r="AL41" i="20" s="1"/>
  <c r="AL46" i="20" s="1"/>
  <c r="AL47" i="20" s="1"/>
  <c r="AM25" i="34"/>
  <c r="S25" i="35"/>
  <c r="AN40" i="17"/>
  <c r="AN41" i="17" s="1"/>
  <c r="AO53" i="12"/>
  <c r="AO54" i="12" s="1"/>
  <c r="AO11" i="11"/>
  <c r="AO12" i="11" s="1"/>
  <c r="AO23" i="10"/>
  <c r="AO24" i="10" s="1"/>
  <c r="AL10" i="34"/>
  <c r="AN15" i="31" l="1"/>
  <c r="AO28" i="15"/>
  <c r="AP14" i="16"/>
  <c r="AP28" i="16"/>
  <c r="AJ27" i="31"/>
  <c r="AJ16" i="22"/>
  <c r="R27" i="32"/>
  <c r="AN27" i="18"/>
  <c r="AN28" i="18" s="1"/>
  <c r="AN40" i="18"/>
  <c r="AN41" i="18" s="1"/>
  <c r="Z12" i="9"/>
  <c r="Z13" i="9" s="1"/>
  <c r="AB66" i="20"/>
  <c r="AB68" i="20" s="1"/>
  <c r="AN33" i="17"/>
  <c r="AN42" i="17"/>
  <c r="AN46" i="17"/>
  <c r="AN47" i="17" s="1"/>
  <c r="AN20" i="20"/>
  <c r="AN21" i="20" s="1"/>
  <c r="AN34" i="20" s="1"/>
  <c r="AN14" i="20"/>
  <c r="AN15" i="20" s="1"/>
  <c r="AA23" i="9"/>
  <c r="O21" i="32"/>
  <c r="L21" i="33"/>
  <c r="AN49" i="19"/>
  <c r="AN30" i="19"/>
  <c r="AO10" i="37"/>
  <c r="AO24" i="12"/>
  <c r="AO26" i="12" s="1"/>
  <c r="AO31" i="12" s="1"/>
  <c r="AO33" i="12" s="1"/>
  <c r="AP20" i="10"/>
  <c r="AL76" i="20"/>
  <c r="AL81" i="20"/>
  <c r="AL48" i="20"/>
  <c r="AT18" i="34"/>
  <c r="AO16" i="19"/>
  <c r="AO17" i="19" s="1"/>
  <c r="AO42" i="15"/>
  <c r="AO20" i="15"/>
  <c r="AO25" i="11"/>
  <c r="AN13" i="28"/>
  <c r="AN14" i="28" s="1"/>
  <c r="AL19" i="31"/>
  <c r="AM29" i="19"/>
  <c r="AA15" i="34"/>
  <c r="O12" i="35"/>
  <c r="AM26" i="20"/>
  <c r="AM27" i="20" s="1"/>
  <c r="AO16" i="37"/>
  <c r="AO63" i="12"/>
  <c r="AO65" i="12" s="1"/>
  <c r="AO71" i="12"/>
  <c r="AO73" i="12" s="1"/>
  <c r="AN32" i="13"/>
  <c r="AN9" i="31" s="1"/>
  <c r="AO28" i="13"/>
  <c r="AM31" i="19"/>
  <c r="AM38" i="19"/>
  <c r="AN39" i="16"/>
  <c r="AN40" i="16" s="1"/>
  <c r="AK37" i="9"/>
  <c r="AK38" i="9" s="1"/>
  <c r="AM48" i="19" l="1"/>
  <c r="AM51" i="19" s="1"/>
  <c r="AM36" i="19" s="1"/>
  <c r="AN37" i="19" s="1"/>
  <c r="AM32" i="19"/>
  <c r="AO21" i="19"/>
  <c r="AO43" i="15"/>
  <c r="AO45" i="15" s="1"/>
  <c r="AO21" i="15"/>
  <c r="AP28" i="10"/>
  <c r="AN39" i="20"/>
  <c r="AN25" i="20"/>
  <c r="AB77" i="20"/>
  <c r="AB78" i="20" s="1"/>
  <c r="AB69" i="20"/>
  <c r="AP20" i="34"/>
  <c r="T20" i="35"/>
  <c r="AA26" i="34"/>
  <c r="O15" i="35"/>
  <c r="AN41" i="16"/>
  <c r="AN45" i="16"/>
  <c r="AN46" i="16" s="1"/>
  <c r="AN32" i="16"/>
  <c r="AO17" i="37"/>
  <c r="AP70" i="12"/>
  <c r="AO17" i="11"/>
  <c r="AO18" i="11" s="1"/>
  <c r="AO15" i="37"/>
  <c r="AP60" i="12"/>
  <c r="Z11" i="31"/>
  <c r="Z12" i="31" s="1"/>
  <c r="Z22" i="9" s="1"/>
  <c r="Z24" i="9" s="1"/>
  <c r="AA11" i="9"/>
  <c r="Z9" i="8"/>
  <c r="AK25" i="31"/>
  <c r="AL36" i="9"/>
  <c r="AK28" i="9"/>
  <c r="AK30" i="9" s="1"/>
  <c r="AO11" i="37"/>
  <c r="AO20" i="17"/>
  <c r="AO22" i="17" s="1"/>
  <c r="AO13" i="15"/>
  <c r="AO14" i="15" s="1"/>
  <c r="AO21" i="13"/>
  <c r="AO23" i="13" s="1"/>
  <c r="AO39" i="12"/>
  <c r="AU41" i="12" s="1"/>
  <c r="AO48" i="12"/>
  <c r="AO50" i="12" s="1"/>
  <c r="AO17" i="9"/>
  <c r="AO18" i="9" s="1"/>
  <c r="AM10" i="34"/>
  <c r="S10" i="35"/>
  <c r="AN48" i="17"/>
  <c r="AN34" i="17"/>
  <c r="AQ22" i="15"/>
  <c r="AN16" i="28"/>
  <c r="AN33" i="18"/>
  <c r="AN46" i="18"/>
  <c r="AN47" i="18" s="1"/>
  <c r="AN42" i="18"/>
  <c r="AM40" i="20"/>
  <c r="AM41" i="20" s="1"/>
  <c r="AM46" i="20" s="1"/>
  <c r="AM47" i="20" s="1"/>
  <c r="AM35" i="20"/>
  <c r="AM36" i="20" s="1"/>
  <c r="AN33" i="20" s="1"/>
  <c r="AL21" i="28"/>
  <c r="AL22" i="28" s="1"/>
  <c r="AN35" i="17"/>
  <c r="AN13" i="17" s="1"/>
  <c r="AN15" i="17" s="1"/>
  <c r="AN29" i="18"/>
  <c r="AN14" i="18"/>
  <c r="AO10" i="31" l="1"/>
  <c r="AP41" i="15"/>
  <c r="AO8" i="28"/>
  <c r="AO11" i="28" s="1"/>
  <c r="AO19" i="16"/>
  <c r="AO21" i="16" s="1"/>
  <c r="AO26" i="11"/>
  <c r="AO27" i="11" s="1"/>
  <c r="AQ8" i="34"/>
  <c r="AQ44" i="15"/>
  <c r="AO12" i="37"/>
  <c r="AO12" i="13"/>
  <c r="AO13" i="13" s="1"/>
  <c r="AP47" i="12"/>
  <c r="AN16" i="31"/>
  <c r="AO11" i="17"/>
  <c r="AU13" i="37"/>
  <c r="AU20" i="18"/>
  <c r="AU22" i="18" s="1"/>
  <c r="AU49" i="12"/>
  <c r="AU61" i="12"/>
  <c r="AO29" i="15"/>
  <c r="AO10" i="12"/>
  <c r="AO11" i="12" s="1"/>
  <c r="AL37" i="9"/>
  <c r="AL38" i="9" s="1"/>
  <c r="AN23" i="34"/>
  <c r="AO8" i="31"/>
  <c r="AP20" i="13"/>
  <c r="AN33" i="16"/>
  <c r="AN34" i="16" s="1"/>
  <c r="AN13" i="16" s="1"/>
  <c r="AN15" i="16" s="1"/>
  <c r="AN47" i="16"/>
  <c r="AB11" i="34"/>
  <c r="AB12" i="34" s="1"/>
  <c r="AK27" i="31"/>
  <c r="AK16" i="22"/>
  <c r="AO15" i="15"/>
  <c r="AO32" i="15"/>
  <c r="Z23" i="31"/>
  <c r="Z15" i="22"/>
  <c r="Z17" i="22" s="1"/>
  <c r="Z21" i="22" s="1"/>
  <c r="AN17" i="28"/>
  <c r="AB20" i="31"/>
  <c r="AB21" i="31" s="1"/>
  <c r="AB23" i="9" s="1"/>
  <c r="AC75" i="20"/>
  <c r="AM19" i="31"/>
  <c r="AN29" i="19"/>
  <c r="S19" i="32"/>
  <c r="N19" i="33"/>
  <c r="AN22" i="34"/>
  <c r="AN18" i="28"/>
  <c r="AN34" i="18"/>
  <c r="AN35" i="18" s="1"/>
  <c r="AN13" i="18" s="1"/>
  <c r="AN15" i="18" s="1"/>
  <c r="AN48" i="18"/>
  <c r="AO17" i="34"/>
  <c r="AO27" i="17"/>
  <c r="AU28" i="17" s="1"/>
  <c r="AO12" i="17"/>
  <c r="AP27" i="10"/>
  <c r="AP29" i="10" s="1"/>
  <c r="AN27" i="20"/>
  <c r="AN31" i="19"/>
  <c r="AN38" i="19"/>
  <c r="AN26" i="20"/>
  <c r="AM81" i="20"/>
  <c r="AM76" i="20"/>
  <c r="AM48" i="20"/>
  <c r="AA29" i="34"/>
  <c r="O26" i="35"/>
  <c r="AN19" i="28" l="1"/>
  <c r="AN18" i="31"/>
  <c r="AO11" i="18"/>
  <c r="AN40" i="20"/>
  <c r="AN41" i="20" s="1"/>
  <c r="AN46" i="20" s="1"/>
  <c r="AN47" i="20" s="1"/>
  <c r="AN35" i="20"/>
  <c r="AN36" i="20" s="1"/>
  <c r="AO33" i="20" s="1"/>
  <c r="AN17" i="31"/>
  <c r="AO11" i="16"/>
  <c r="AO40" i="17"/>
  <c r="AO41" i="17" s="1"/>
  <c r="AP25" i="12"/>
  <c r="AN48" i="19"/>
  <c r="AN51" i="19" s="1"/>
  <c r="AN36" i="19" s="1"/>
  <c r="AO37" i="19" s="1"/>
  <c r="AN32" i="19"/>
  <c r="AB15" i="34"/>
  <c r="AO29" i="13"/>
  <c r="AO31" i="13" s="1"/>
  <c r="AO14" i="13"/>
  <c r="AO14" i="31"/>
  <c r="AP24" i="11"/>
  <c r="AN24" i="34"/>
  <c r="AO19" i="34"/>
  <c r="AO26" i="16"/>
  <c r="AQ27" i="16" s="1"/>
  <c r="AO12" i="16"/>
  <c r="AN25" i="34"/>
  <c r="AP53" i="12"/>
  <c r="AP54" i="12" s="1"/>
  <c r="AP11" i="11"/>
  <c r="AP12" i="11" s="1"/>
  <c r="AP23" i="10"/>
  <c r="AP24" i="10" s="1"/>
  <c r="AA12" i="9"/>
  <c r="AA13" i="9" s="1"/>
  <c r="O29" i="35"/>
  <c r="AL25" i="31"/>
  <c r="AL28" i="9"/>
  <c r="AL30" i="9" s="1"/>
  <c r="AM36" i="9"/>
  <c r="AC66" i="20"/>
  <c r="AC68" i="20" s="1"/>
  <c r="AO14" i="34"/>
  <c r="AO9" i="20"/>
  <c r="AO10" i="20" s="1"/>
  <c r="AO9" i="19"/>
  <c r="AO11" i="19" s="1"/>
  <c r="AO22" i="19" s="1"/>
  <c r="AO23" i="19" s="1"/>
  <c r="AO30" i="15"/>
  <c r="AU21" i="34"/>
  <c r="AU12" i="18"/>
  <c r="AN82" i="20"/>
  <c r="AN10" i="34"/>
  <c r="AU29" i="17"/>
  <c r="AU14" i="17"/>
  <c r="AM21" i="28"/>
  <c r="AM22" i="28" s="1"/>
  <c r="S21" i="29"/>
  <c r="AP11" i="13"/>
  <c r="AO36" i="15"/>
  <c r="AB26" i="34" l="1"/>
  <c r="AO42" i="17"/>
  <c r="AO33" i="17"/>
  <c r="AO46" i="17"/>
  <c r="AO47" i="17" s="1"/>
  <c r="AN19" i="31"/>
  <c r="AO29" i="19"/>
  <c r="AO39" i="16"/>
  <c r="AO40" i="16" s="1"/>
  <c r="AA11" i="31"/>
  <c r="AA12" i="31" s="1"/>
  <c r="AB11" i="9"/>
  <c r="AA9" i="8"/>
  <c r="L11" i="33"/>
  <c r="O11" i="32"/>
  <c r="AO31" i="19"/>
  <c r="AO38" i="19"/>
  <c r="AM37" i="9"/>
  <c r="AM38" i="9" s="1"/>
  <c r="S22" i="29"/>
  <c r="AP10" i="37"/>
  <c r="AP24" i="12"/>
  <c r="AP26" i="12" s="1"/>
  <c r="AP31" i="12" s="1"/>
  <c r="AP33" i="12" s="1"/>
  <c r="AQ20" i="10"/>
  <c r="T10" i="38"/>
  <c r="AO30" i="19"/>
  <c r="AO49" i="19"/>
  <c r="AP16" i="19"/>
  <c r="AP17" i="19" s="1"/>
  <c r="AP42" i="15"/>
  <c r="AP20" i="15"/>
  <c r="AP25" i="11"/>
  <c r="AQ28" i="16"/>
  <c r="AQ14" i="16"/>
  <c r="AO13" i="28"/>
  <c r="AO14" i="28" s="1"/>
  <c r="AO26" i="20"/>
  <c r="AU18" i="34"/>
  <c r="AC77" i="20"/>
  <c r="AC78" i="20" s="1"/>
  <c r="AC69" i="20"/>
  <c r="AP16" i="37"/>
  <c r="AP71" i="12"/>
  <c r="AP73" i="12" s="1"/>
  <c r="AP63" i="12"/>
  <c r="AP65" i="12" s="1"/>
  <c r="T16" i="38"/>
  <c r="AP28" i="13"/>
  <c r="AO32" i="13"/>
  <c r="AO9" i="31" s="1"/>
  <c r="AN81" i="20"/>
  <c r="AN76" i="20"/>
  <c r="AN48" i="20"/>
  <c r="AO40" i="18"/>
  <c r="AO41" i="18" s="1"/>
  <c r="AO27" i="18"/>
  <c r="AO28" i="18" s="1"/>
  <c r="AO15" i="31"/>
  <c r="AP28" i="15"/>
  <c r="AO14" i="20"/>
  <c r="AO15" i="20" s="1"/>
  <c r="AO20" i="20"/>
  <c r="AO21" i="20" s="1"/>
  <c r="AO34" i="20" s="1"/>
  <c r="AL27" i="31"/>
  <c r="AL16" i="22"/>
  <c r="AO39" i="20" l="1"/>
  <c r="AO25" i="20"/>
  <c r="AO27" i="20" s="1"/>
  <c r="AO48" i="17"/>
  <c r="AO34" i="17"/>
  <c r="AO35" i="17"/>
  <c r="AO13" i="17" s="1"/>
  <c r="AO15" i="17" s="1"/>
  <c r="AA22" i="9"/>
  <c r="AA24" i="9" s="1"/>
  <c r="O12" i="32"/>
  <c r="L12" i="33"/>
  <c r="AO16" i="28"/>
  <c r="AP21" i="19"/>
  <c r="AP43" i="15"/>
  <c r="AP45" i="15" s="1"/>
  <c r="AP21" i="15"/>
  <c r="AR22" i="15" s="1"/>
  <c r="AO10" i="34"/>
  <c r="AO45" i="16"/>
  <c r="AO46" i="16" s="1"/>
  <c r="AO32" i="16"/>
  <c r="AO41" i="16"/>
  <c r="AQ20" i="34"/>
  <c r="AO48" i="19"/>
  <c r="AO51" i="19" s="1"/>
  <c r="AO36" i="19" s="1"/>
  <c r="AP37" i="19" s="1"/>
  <c r="AO32" i="19"/>
  <c r="AB29" i="34"/>
  <c r="AC11" i="34"/>
  <c r="AC12" i="34" s="1"/>
  <c r="AC20" i="31"/>
  <c r="AC21" i="31" s="1"/>
  <c r="AC23" i="9" s="1"/>
  <c r="AD75" i="20"/>
  <c r="AP15" i="37"/>
  <c r="AQ60" i="12"/>
  <c r="T15" i="38"/>
  <c r="AQ28" i="10"/>
  <c r="AO29" i="18"/>
  <c r="AO14" i="18"/>
  <c r="AO33" i="18"/>
  <c r="AO46" i="18"/>
  <c r="AO47" i="18" s="1"/>
  <c r="AO42" i="18"/>
  <c r="AM25" i="31"/>
  <c r="AN36" i="9"/>
  <c r="AM28" i="9"/>
  <c r="AM30" i="9" s="1"/>
  <c r="N25" i="33"/>
  <c r="S25" i="32"/>
  <c r="AN21" i="28"/>
  <c r="AN22" i="28" s="1"/>
  <c r="AP17" i="37"/>
  <c r="AQ70" i="12"/>
  <c r="AP17" i="11"/>
  <c r="AP18" i="11" s="1"/>
  <c r="T17" i="38"/>
  <c r="AP11" i="37"/>
  <c r="AP13" i="15"/>
  <c r="AP14" i="15" s="1"/>
  <c r="AP20" i="17"/>
  <c r="AP22" i="17" s="1"/>
  <c r="AP21" i="13"/>
  <c r="AP23" i="13" s="1"/>
  <c r="AP39" i="12"/>
  <c r="AV41" i="12" s="1"/>
  <c r="AP48" i="12"/>
  <c r="AP50" i="12" s="1"/>
  <c r="AP17" i="9"/>
  <c r="AP18" i="9" s="1"/>
  <c r="T11" i="38"/>
  <c r="AC15" i="34" l="1"/>
  <c r="AP10" i="31"/>
  <c r="AQ41" i="15"/>
  <c r="T10" i="32"/>
  <c r="AO40" i="20"/>
  <c r="AO41" i="20" s="1"/>
  <c r="AO46" i="20" s="1"/>
  <c r="AO47" i="20" s="1"/>
  <c r="AO35" i="20"/>
  <c r="AO36" i="20" s="1"/>
  <c r="AP33" i="20" s="1"/>
  <c r="AO17" i="28"/>
  <c r="AN38" i="9"/>
  <c r="AP15" i="15"/>
  <c r="AP32" i="15"/>
  <c r="AO48" i="18"/>
  <c r="AO34" i="18"/>
  <c r="AO35" i="18" s="1"/>
  <c r="AO13" i="18" s="1"/>
  <c r="AO15" i="18" s="1"/>
  <c r="AA23" i="31"/>
  <c r="AA15" i="22"/>
  <c r="AA17" i="22" s="1"/>
  <c r="AA21" i="22" s="1"/>
  <c r="L23" i="33"/>
  <c r="O23" i="32"/>
  <c r="AQ27" i="10"/>
  <c r="AQ29" i="10" s="1"/>
  <c r="AN37" i="9"/>
  <c r="AD66" i="20"/>
  <c r="AD68" i="20" s="1"/>
  <c r="AB12" i="9"/>
  <c r="AB13" i="9" s="1"/>
  <c r="AO47" i="16"/>
  <c r="AO33" i="16"/>
  <c r="AO34" i="16" s="1"/>
  <c r="AO13" i="16" s="1"/>
  <c r="AO15" i="16" s="1"/>
  <c r="AO16" i="31"/>
  <c r="AP11" i="17"/>
  <c r="AP8" i="31"/>
  <c r="AQ20" i="13"/>
  <c r="T8" i="32"/>
  <c r="AR8" i="34"/>
  <c r="AR44" i="15"/>
  <c r="AO19" i="31"/>
  <c r="AP29" i="19"/>
  <c r="AP29" i="15"/>
  <c r="AP10" i="12"/>
  <c r="AP11" i="12" s="1"/>
  <c r="AO22" i="34"/>
  <c r="AP31" i="19"/>
  <c r="AP38" i="19"/>
  <c r="AV13" i="37"/>
  <c r="AV20" i="18"/>
  <c r="AV22" i="18" s="1"/>
  <c r="AV49" i="12"/>
  <c r="AV61" i="12"/>
  <c r="V13" i="38"/>
  <c r="AP17" i="34"/>
  <c r="AP27" i="17"/>
  <c r="AV28" i="17" s="1"/>
  <c r="AP12" i="17"/>
  <c r="T17" i="35"/>
  <c r="AO18" i="28"/>
  <c r="AP12" i="37"/>
  <c r="AP12" i="13"/>
  <c r="AP13" i="13" s="1"/>
  <c r="AQ47" i="12"/>
  <c r="T12" i="38"/>
  <c r="AP8" i="28"/>
  <c r="AP11" i="28" s="1"/>
  <c r="AP19" i="16"/>
  <c r="AP21" i="16" s="1"/>
  <c r="AP26" i="11"/>
  <c r="AP27" i="11" s="1"/>
  <c r="T8" i="29"/>
  <c r="AM27" i="31"/>
  <c r="AM16" i="22"/>
  <c r="N27" i="33"/>
  <c r="S27" i="32"/>
  <c r="AO23" i="34"/>
  <c r="AO17" i="31" l="1"/>
  <c r="AP11" i="16"/>
  <c r="AO76" i="20"/>
  <c r="AO81" i="20"/>
  <c r="AO48" i="20"/>
  <c r="AP14" i="31"/>
  <c r="AQ24" i="11"/>
  <c r="T14" i="32"/>
  <c r="AP19" i="34"/>
  <c r="AP12" i="16"/>
  <c r="AP26" i="16"/>
  <c r="AR27" i="16" s="1"/>
  <c r="T19" i="35"/>
  <c r="AQ25" i="12"/>
  <c r="AV21" i="34"/>
  <c r="AV12" i="18"/>
  <c r="V21" i="35"/>
  <c r="AQ11" i="13"/>
  <c r="AB11" i="31"/>
  <c r="AB12" i="31" s="1"/>
  <c r="AB22" i="9" s="1"/>
  <c r="AB24" i="9" s="1"/>
  <c r="AB9" i="8"/>
  <c r="AC11" i="9"/>
  <c r="AQ53" i="12"/>
  <c r="AQ54" i="12" s="1"/>
  <c r="AQ11" i="11"/>
  <c r="AQ12" i="11" s="1"/>
  <c r="AQ23" i="10"/>
  <c r="AQ24" i="10" s="1"/>
  <c r="AP14" i="34"/>
  <c r="T14" i="35"/>
  <c r="AP10" i="34"/>
  <c r="T10" i="35"/>
  <c r="AP48" i="19"/>
  <c r="AP40" i="17"/>
  <c r="AP41" i="17" s="1"/>
  <c r="AD77" i="20"/>
  <c r="AD78" i="20" s="1"/>
  <c r="AD69" i="20"/>
  <c r="AN25" i="31"/>
  <c r="AO36" i="9"/>
  <c r="AN28" i="9"/>
  <c r="AN30" i="9" s="1"/>
  <c r="AO18" i="31"/>
  <c r="AP11" i="18"/>
  <c r="AV29" i="17"/>
  <c r="AV14" i="17"/>
  <c r="AO24" i="34"/>
  <c r="AP29" i="13"/>
  <c r="AP31" i="13" s="1"/>
  <c r="AP14" i="13"/>
  <c r="AP9" i="20"/>
  <c r="AP10" i="20" s="1"/>
  <c r="T11" i="29"/>
  <c r="AO19" i="28"/>
  <c r="AC26" i="34"/>
  <c r="AP9" i="19"/>
  <c r="AP11" i="19" s="1"/>
  <c r="AP22" i="19" s="1"/>
  <c r="AP23" i="19" s="1"/>
  <c r="AP30" i="15"/>
  <c r="AP36" i="15" s="1"/>
  <c r="AO25" i="34"/>
  <c r="AP26" i="20"/>
  <c r="AP15" i="31" l="1"/>
  <c r="AQ28" i="15"/>
  <c r="T15" i="32"/>
  <c r="AB23" i="31"/>
  <c r="AB15" i="22"/>
  <c r="AB17" i="22" s="1"/>
  <c r="AB21" i="22" s="1"/>
  <c r="AP13" i="28"/>
  <c r="AP14" i="28" s="1"/>
  <c r="T13" i="29"/>
  <c r="AC29" i="34"/>
  <c r="AQ28" i="13"/>
  <c r="AP32" i="13"/>
  <c r="AP42" i="17"/>
  <c r="AP46" i="17"/>
  <c r="AP47" i="17" s="1"/>
  <c r="AP33" i="17"/>
  <c r="AO82" i="20"/>
  <c r="AN27" i="31"/>
  <c r="AN16" i="22"/>
  <c r="AQ10" i="37"/>
  <c r="AQ24" i="12"/>
  <c r="AQ26" i="12" s="1"/>
  <c r="AQ31" i="12" s="1"/>
  <c r="AQ33" i="12" s="1"/>
  <c r="AR20" i="10"/>
  <c r="AO21" i="28"/>
  <c r="AO22" i="28" s="1"/>
  <c r="AQ16" i="37"/>
  <c r="AQ63" i="12"/>
  <c r="AQ65" i="12" s="1"/>
  <c r="AQ71" i="12"/>
  <c r="AQ73" i="12" s="1"/>
  <c r="AR14" i="16"/>
  <c r="AR28" i="16"/>
  <c r="AP49" i="19"/>
  <c r="AP51" i="19" s="1"/>
  <c r="AP36" i="19" s="1"/>
  <c r="AQ37" i="19" s="1"/>
  <c r="AP30" i="19"/>
  <c r="AP32" i="19" s="1"/>
  <c r="AP14" i="20"/>
  <c r="AP15" i="20" s="1"/>
  <c r="AP20" i="20"/>
  <c r="AP21" i="20" s="1"/>
  <c r="AP34" i="20" s="1"/>
  <c r="AV18" i="34"/>
  <c r="V18" i="35"/>
  <c r="AD11" i="34"/>
  <c r="AD12" i="34" s="1"/>
  <c r="P11" i="35"/>
  <c r="AP39" i="16"/>
  <c r="AP40" i="16" s="1"/>
  <c r="AQ16" i="19"/>
  <c r="AQ17" i="19" s="1"/>
  <c r="AQ20" i="15"/>
  <c r="AQ42" i="15"/>
  <c r="AQ25" i="11"/>
  <c r="AP27" i="18"/>
  <c r="AP28" i="18" s="1"/>
  <c r="AP40" i="18"/>
  <c r="AP41" i="18" s="1"/>
  <c r="AD20" i="31"/>
  <c r="AD21" i="31" s="1"/>
  <c r="AE75" i="20"/>
  <c r="P20" i="32"/>
  <c r="AO37" i="9" l="1"/>
  <c r="AO38" i="9" s="1"/>
  <c r="AQ21" i="19"/>
  <c r="AQ43" i="15"/>
  <c r="AQ21" i="15"/>
  <c r="AP35" i="17"/>
  <c r="AP13" i="17" s="1"/>
  <c r="AP15" i="17" s="1"/>
  <c r="AP16" i="28"/>
  <c r="T16" i="29"/>
  <c r="T14" i="29"/>
  <c r="AR20" i="34"/>
  <c r="AR28" i="10"/>
  <c r="AP9" i="31"/>
  <c r="T9" i="32"/>
  <c r="AE66" i="20"/>
  <c r="AE68" i="20" s="1"/>
  <c r="AD23" i="9"/>
  <c r="P21" i="32"/>
  <c r="AP48" i="17"/>
  <c r="AP34" i="17"/>
  <c r="AQ11" i="37"/>
  <c r="AQ20" i="17"/>
  <c r="AQ22" i="17" s="1"/>
  <c r="AQ13" i="15"/>
  <c r="AQ14" i="15" s="1"/>
  <c r="AQ21" i="13"/>
  <c r="AQ23" i="13" s="1"/>
  <c r="AQ39" i="12"/>
  <c r="AW41" i="12" s="1"/>
  <c r="AQ48" i="12"/>
  <c r="AQ50" i="12" s="1"/>
  <c r="AQ17" i="9"/>
  <c r="AQ18" i="9" s="1"/>
  <c r="AP29" i="18"/>
  <c r="AP14" i="18"/>
  <c r="AP25" i="20"/>
  <c r="AP27" i="20" s="1"/>
  <c r="AP39" i="20"/>
  <c r="AQ17" i="37"/>
  <c r="AR70" i="12"/>
  <c r="AQ17" i="11"/>
  <c r="AQ18" i="11" s="1"/>
  <c r="AP45" i="16"/>
  <c r="AP46" i="16" s="1"/>
  <c r="AP32" i="16"/>
  <c r="AP41" i="16"/>
  <c r="AP46" i="18"/>
  <c r="AP47" i="18" s="1"/>
  <c r="AP42" i="18"/>
  <c r="AP33" i="18"/>
  <c r="AP19" i="31"/>
  <c r="AQ29" i="19"/>
  <c r="T19" i="32"/>
  <c r="AQ15" i="37"/>
  <c r="AR60" i="12"/>
  <c r="AQ38" i="19"/>
  <c r="AQ31" i="19"/>
  <c r="AQ45" i="15"/>
  <c r="AS22" i="15"/>
  <c r="AD15" i="34"/>
  <c r="P12" i="35"/>
  <c r="AC12" i="9"/>
  <c r="AC13" i="9" s="1"/>
  <c r="AP18" i="28" l="1"/>
  <c r="T18" i="29"/>
  <c r="AP16" i="31"/>
  <c r="AQ11" i="17"/>
  <c r="T16" i="32"/>
  <c r="AC11" i="31"/>
  <c r="AC12" i="31" s="1"/>
  <c r="AC22" i="9" s="1"/>
  <c r="AC24" i="9" s="1"/>
  <c r="AC9" i="8"/>
  <c r="AD11" i="9"/>
  <c r="AP35" i="20"/>
  <c r="AP36" i="20" s="1"/>
  <c r="AQ33" i="20" s="1"/>
  <c r="AP40" i="20"/>
  <c r="AW13" i="37"/>
  <c r="AW20" i="18"/>
  <c r="AW22" i="18" s="1"/>
  <c r="AW49" i="12"/>
  <c r="AW61" i="12"/>
  <c r="AQ8" i="31"/>
  <c r="AR20" i="13"/>
  <c r="AQ10" i="34"/>
  <c r="AQ32" i="15"/>
  <c r="AQ15" i="15"/>
  <c r="AE69" i="20"/>
  <c r="AE77" i="20"/>
  <c r="AE78" i="20" s="1"/>
  <c r="AR27" i="10"/>
  <c r="AR29" i="10" s="1"/>
  <c r="AD26" i="34"/>
  <c r="P15" i="35"/>
  <c r="AQ17" i="34"/>
  <c r="AQ27" i="17"/>
  <c r="AW28" i="17" s="1"/>
  <c r="AQ12" i="17"/>
  <c r="AS8" i="34"/>
  <c r="AS44" i="15"/>
  <c r="U8" i="35"/>
  <c r="AP47" i="16"/>
  <c r="AP33" i="16"/>
  <c r="AP34" i="16" s="1"/>
  <c r="AP13" i="16" s="1"/>
  <c r="AP15" i="16" s="1"/>
  <c r="AQ10" i="31"/>
  <c r="AR41" i="15"/>
  <c r="AO25" i="31"/>
  <c r="AP36" i="9"/>
  <c r="AO28" i="9"/>
  <c r="AO30" i="9" s="1"/>
  <c r="AP41" i="20"/>
  <c r="AP46" i="20" s="1"/>
  <c r="AP47" i="20" s="1"/>
  <c r="AQ12" i="37"/>
  <c r="AQ12" i="13"/>
  <c r="AQ13" i="13" s="1"/>
  <c r="AR47" i="12"/>
  <c r="AP48" i="18"/>
  <c r="AP34" i="18"/>
  <c r="AP17" i="28"/>
  <c r="AP19" i="28" s="1"/>
  <c r="T17" i="29"/>
  <c r="AP22" i="34"/>
  <c r="T22" i="35"/>
  <c r="AQ48" i="19"/>
  <c r="AQ8" i="28"/>
  <c r="AQ11" i="28" s="1"/>
  <c r="AQ19" i="16"/>
  <c r="AQ21" i="16" s="1"/>
  <c r="AQ26" i="11"/>
  <c r="AQ27" i="11" s="1"/>
  <c r="AP35" i="18"/>
  <c r="AP13" i="18" s="1"/>
  <c r="AP15" i="18" s="1"/>
  <c r="AQ29" i="15"/>
  <c r="AQ10" i="12"/>
  <c r="AQ11" i="12" s="1"/>
  <c r="AP23" i="34"/>
  <c r="T23" i="35"/>
  <c r="AP18" i="31" l="1"/>
  <c r="AQ11" i="18"/>
  <c r="T18" i="32"/>
  <c r="AD29" i="34"/>
  <c r="P26" i="35"/>
  <c r="AC23" i="31"/>
  <c r="AC15" i="22"/>
  <c r="AC17" i="22" s="1"/>
  <c r="AC21" i="22" s="1"/>
  <c r="AP25" i="34"/>
  <c r="T25" i="35"/>
  <c r="AR25" i="12"/>
  <c r="AR53" i="12"/>
  <c r="AR54" i="12" s="1"/>
  <c r="AR11" i="11"/>
  <c r="AR12" i="11" s="1"/>
  <c r="AR23" i="10"/>
  <c r="AR24" i="10" s="1"/>
  <c r="AW21" i="34"/>
  <c r="AW12" i="18"/>
  <c r="AQ40" i="17"/>
  <c r="AQ41" i="17" s="1"/>
  <c r="AQ29" i="13"/>
  <c r="AQ31" i="13" s="1"/>
  <c r="AQ14" i="13"/>
  <c r="AR11" i="13"/>
  <c r="AP82" i="20"/>
  <c r="T19" i="29"/>
  <c r="AQ14" i="31"/>
  <c r="AR24" i="11"/>
  <c r="AP17" i="31"/>
  <c r="AQ11" i="16"/>
  <c r="T17" i="32"/>
  <c r="AP24" i="34"/>
  <c r="T24" i="35"/>
  <c r="AW29" i="17"/>
  <c r="AW14" i="17"/>
  <c r="AE20" i="31"/>
  <c r="AE21" i="31" s="1"/>
  <c r="AE23" i="9" s="1"/>
  <c r="AF75" i="20"/>
  <c r="AQ19" i="34"/>
  <c r="AQ26" i="16"/>
  <c r="AS27" i="16" s="1"/>
  <c r="AQ12" i="16"/>
  <c r="AE11" i="34"/>
  <c r="AE12" i="34" s="1"/>
  <c r="AQ26" i="20"/>
  <c r="AP48" i="20"/>
  <c r="AP81" i="20"/>
  <c r="AP76" i="20"/>
  <c r="AQ9" i="19"/>
  <c r="AQ11" i="19" s="1"/>
  <c r="AQ22" i="19" s="1"/>
  <c r="AQ23" i="19" s="1"/>
  <c r="AQ30" i="15"/>
  <c r="AQ36" i="15" s="1"/>
  <c r="AQ9" i="20"/>
  <c r="AQ10" i="20" s="1"/>
  <c r="AO27" i="31"/>
  <c r="AO16" i="22"/>
  <c r="AQ14" i="34"/>
  <c r="AQ15" i="31" l="1"/>
  <c r="AR28" i="15"/>
  <c r="AF66" i="20"/>
  <c r="AF68" i="20" s="1"/>
  <c r="AQ39" i="16"/>
  <c r="AQ40" i="16" s="1"/>
  <c r="AR16" i="37"/>
  <c r="AR63" i="12"/>
  <c r="AR65" i="12" s="1"/>
  <c r="AR71" i="12"/>
  <c r="AR73" i="12" s="1"/>
  <c r="AS14" i="16"/>
  <c r="AS28" i="16"/>
  <c r="AW18" i="34"/>
  <c r="AD12" i="9"/>
  <c r="AD13" i="9" s="1"/>
  <c r="P29" i="35"/>
  <c r="AQ20" i="20"/>
  <c r="AQ21" i="20" s="1"/>
  <c r="AQ34" i="20" s="1"/>
  <c r="AQ14" i="20"/>
  <c r="AQ15" i="20" s="1"/>
  <c r="AQ13" i="28"/>
  <c r="AQ14" i="28" s="1"/>
  <c r="AQ32" i="13"/>
  <c r="AQ9" i="31" s="1"/>
  <c r="AR28" i="13"/>
  <c r="AQ27" i="18"/>
  <c r="AQ28" i="18" s="1"/>
  <c r="AQ40" i="18"/>
  <c r="AQ41" i="18" s="1"/>
  <c r="AP21" i="28"/>
  <c r="AP22" i="28" s="1"/>
  <c r="T21" i="29"/>
  <c r="AR10" i="37"/>
  <c r="AR24" i="12"/>
  <c r="AR26" i="12" s="1"/>
  <c r="AR31" i="12" s="1"/>
  <c r="AR33" i="12" s="1"/>
  <c r="AS20" i="10"/>
  <c r="AQ30" i="19"/>
  <c r="AQ32" i="19" s="1"/>
  <c r="AQ49" i="19"/>
  <c r="AQ51" i="19" s="1"/>
  <c r="AQ36" i="19" s="1"/>
  <c r="AR37" i="19" s="1"/>
  <c r="AE15" i="34"/>
  <c r="AQ46" i="17"/>
  <c r="AQ47" i="17" s="1"/>
  <c r="AQ42" i="17"/>
  <c r="AQ33" i="17"/>
  <c r="AR16" i="19"/>
  <c r="AR17" i="19" s="1"/>
  <c r="AR20" i="15"/>
  <c r="AR42" i="15"/>
  <c r="AR25" i="11"/>
  <c r="AR15" i="37" l="1"/>
  <c r="AS60" i="12"/>
  <c r="AS20" i="34"/>
  <c r="U20" i="35"/>
  <c r="AQ41" i="16"/>
  <c r="AQ45" i="16"/>
  <c r="AQ46" i="16" s="1"/>
  <c r="AQ32" i="16"/>
  <c r="AR38" i="19"/>
  <c r="AR31" i="19"/>
  <c r="AQ19" i="31"/>
  <c r="AR29" i="19"/>
  <c r="AR11" i="37"/>
  <c r="AR20" i="17"/>
  <c r="AR22" i="17" s="1"/>
  <c r="AR13" i="15"/>
  <c r="AR14" i="15" s="1"/>
  <c r="AR21" i="13"/>
  <c r="AR23" i="13" s="1"/>
  <c r="AR48" i="12"/>
  <c r="AR50" i="12" s="1"/>
  <c r="AR39" i="12"/>
  <c r="AX41" i="12" s="1"/>
  <c r="AR17" i="9"/>
  <c r="AR18" i="9" s="1"/>
  <c r="AQ34" i="17"/>
  <c r="AQ48" i="17"/>
  <c r="AD11" i="31"/>
  <c r="AD12" i="31" s="1"/>
  <c r="AD9" i="8"/>
  <c r="AE11" i="9"/>
  <c r="P11" i="32"/>
  <c r="AQ25" i="20"/>
  <c r="AQ27" i="20" s="1"/>
  <c r="AQ39" i="20"/>
  <c r="AF77" i="20"/>
  <c r="AF78" i="20" s="1"/>
  <c r="AF69" i="20"/>
  <c r="AR21" i="19"/>
  <c r="AR43" i="15"/>
  <c r="AR45" i="15" s="1"/>
  <c r="AR21" i="15"/>
  <c r="AT22" i="15" s="1"/>
  <c r="AQ35" i="17"/>
  <c r="AQ13" i="17" s="1"/>
  <c r="AQ15" i="17" s="1"/>
  <c r="AQ14" i="18"/>
  <c r="AQ29" i="18"/>
  <c r="AQ16" i="28"/>
  <c r="AQ42" i="18"/>
  <c r="AQ33" i="18"/>
  <c r="AQ46" i="18"/>
  <c r="AQ47" i="18" s="1"/>
  <c r="AS28" i="10"/>
  <c r="AE26" i="34"/>
  <c r="AP37" i="9"/>
  <c r="AP38" i="9" s="1"/>
  <c r="T22" i="29"/>
  <c r="AR17" i="37"/>
  <c r="AS70" i="12"/>
  <c r="AR17" i="11"/>
  <c r="AR18" i="11" s="1"/>
  <c r="AT8" i="34" l="1"/>
  <c r="AT44" i="15"/>
  <c r="AR10" i="31"/>
  <c r="AS41" i="15"/>
  <c r="AQ22" i="34"/>
  <c r="AR17" i="34"/>
  <c r="AR27" i="17"/>
  <c r="AX28" i="17" s="1"/>
  <c r="AR12" i="17"/>
  <c r="AQ17" i="28"/>
  <c r="AR48" i="19"/>
  <c r="AQ48" i="18"/>
  <c r="AQ34" i="18"/>
  <c r="AQ35" i="18" s="1"/>
  <c r="AQ13" i="18" s="1"/>
  <c r="AQ15" i="18" s="1"/>
  <c r="AQ18" i="28"/>
  <c r="AR29" i="15"/>
  <c r="AR10" i="12"/>
  <c r="AR11" i="12" s="1"/>
  <c r="AX13" i="37"/>
  <c r="AX20" i="18"/>
  <c r="AX22" i="18" s="1"/>
  <c r="AX61" i="12"/>
  <c r="AX49" i="12"/>
  <c r="AQ40" i="20"/>
  <c r="AQ41" i="20" s="1"/>
  <c r="AQ46" i="20" s="1"/>
  <c r="AQ47" i="20" s="1"/>
  <c r="AQ35" i="20"/>
  <c r="AQ36" i="20" s="1"/>
  <c r="AR33" i="20" s="1"/>
  <c r="AP25" i="31"/>
  <c r="AP28" i="9"/>
  <c r="AP30" i="9" s="1"/>
  <c r="AQ36" i="9"/>
  <c r="T25" i="32"/>
  <c r="AQ16" i="31"/>
  <c r="AR11" i="17"/>
  <c r="AD22" i="9"/>
  <c r="AD24" i="9" s="1"/>
  <c r="P12" i="32"/>
  <c r="AR12" i="37"/>
  <c r="AR12" i="13"/>
  <c r="AR13" i="13" s="1"/>
  <c r="AS47" i="12"/>
  <c r="AR10" i="34"/>
  <c r="AS27" i="10"/>
  <c r="AS29" i="10" s="1"/>
  <c r="AF11" i="34"/>
  <c r="AF12" i="34" s="1"/>
  <c r="AR8" i="31"/>
  <c r="AS20" i="13"/>
  <c r="AR8" i="28"/>
  <c r="AR11" i="28" s="1"/>
  <c r="AR19" i="16"/>
  <c r="AR21" i="16" s="1"/>
  <c r="AR26" i="11"/>
  <c r="AR27" i="11" s="1"/>
  <c r="AE29" i="34"/>
  <c r="AF20" i="31"/>
  <c r="AF21" i="31" s="1"/>
  <c r="AF23" i="9" s="1"/>
  <c r="AG75" i="20"/>
  <c r="AQ23" i="34"/>
  <c r="AR15" i="15"/>
  <c r="AR32" i="15"/>
  <c r="AQ47" i="16"/>
  <c r="AQ33" i="16"/>
  <c r="AQ34" i="16" s="1"/>
  <c r="AQ13" i="16" s="1"/>
  <c r="AQ15" i="16" s="1"/>
  <c r="AQ76" i="20" l="1"/>
  <c r="AQ81" i="20"/>
  <c r="AQ48" i="20"/>
  <c r="AQ17" i="31"/>
  <c r="AR11" i="16"/>
  <c r="AS25" i="12"/>
  <c r="AQ19" i="28"/>
  <c r="AR29" i="13"/>
  <c r="AR31" i="13" s="1"/>
  <c r="AR14" i="13"/>
  <c r="AF15" i="34"/>
  <c r="AX21" i="34"/>
  <c r="AX12" i="18"/>
  <c r="AP27" i="31"/>
  <c r="AP16" i="22"/>
  <c r="T27" i="32"/>
  <c r="AQ25" i="34"/>
  <c r="AX14" i="17"/>
  <c r="AX29" i="17"/>
  <c r="AR14" i="31"/>
  <c r="AS24" i="11"/>
  <c r="AR19" i="34"/>
  <c r="AR12" i="16"/>
  <c r="AR26" i="16"/>
  <c r="AT27" i="16" s="1"/>
  <c r="AD23" i="31"/>
  <c r="AD15" i="22"/>
  <c r="AD17" i="22" s="1"/>
  <c r="AD21" i="22" s="1"/>
  <c r="P23" i="32"/>
  <c r="AR9" i="19"/>
  <c r="AR11" i="19" s="1"/>
  <c r="AR22" i="19" s="1"/>
  <c r="AR23" i="19" s="1"/>
  <c r="AR30" i="15"/>
  <c r="AR36" i="15" s="1"/>
  <c r="AQ18" i="31"/>
  <c r="AR11" i="18"/>
  <c r="AG66" i="20"/>
  <c r="AG68" i="20" s="1"/>
  <c r="AR9" i="20"/>
  <c r="AR10" i="20" s="1"/>
  <c r="AS53" i="12"/>
  <c r="AS54" i="12" s="1"/>
  <c r="AS11" i="11"/>
  <c r="AS12" i="11" s="1"/>
  <c r="AS23" i="10"/>
  <c r="AS24" i="10" s="1"/>
  <c r="AR26" i="20"/>
  <c r="AR14" i="34"/>
  <c r="AE12" i="9"/>
  <c r="AE13" i="9" s="1"/>
  <c r="AQ24" i="34"/>
  <c r="AS11" i="13"/>
  <c r="AR40" i="17"/>
  <c r="AR41" i="17" s="1"/>
  <c r="AR15" i="31" l="1"/>
  <c r="AS28" i="15"/>
  <c r="AS10" i="37"/>
  <c r="AT20" i="10"/>
  <c r="AS24" i="12"/>
  <c r="AS26" i="12" s="1"/>
  <c r="AS31" i="12" s="1"/>
  <c r="AS33" i="12" s="1"/>
  <c r="U10" i="38"/>
  <c r="O10" i="39"/>
  <c r="L10" i="26"/>
  <c r="AF26" i="34"/>
  <c r="AR49" i="19"/>
  <c r="AR51" i="19" s="1"/>
  <c r="AR36" i="19" s="1"/>
  <c r="AS37" i="19" s="1"/>
  <c r="AR30" i="19"/>
  <c r="AR32" i="19" s="1"/>
  <c r="AR39" i="16"/>
  <c r="AR40" i="16" s="1"/>
  <c r="AR46" i="17"/>
  <c r="AR47" i="17" s="1"/>
  <c r="AR33" i="17"/>
  <c r="AR42" i="17"/>
  <c r="AR13" i="28"/>
  <c r="AR14" i="28" s="1"/>
  <c r="AS16" i="19"/>
  <c r="AS17" i="19" s="1"/>
  <c r="AS20" i="15"/>
  <c r="AS42" i="15"/>
  <c r="AS25" i="11"/>
  <c r="AS28" i="13"/>
  <c r="AR32" i="13"/>
  <c r="AR9" i="31" s="1"/>
  <c r="AQ21" i="28"/>
  <c r="AQ22" i="28" s="1"/>
  <c r="AT14" i="16"/>
  <c r="AT28" i="16"/>
  <c r="AR20" i="20"/>
  <c r="AR21" i="20" s="1"/>
  <c r="AR34" i="20" s="1"/>
  <c r="AR14" i="20"/>
  <c r="AR15" i="20" s="1"/>
  <c r="AX18" i="34"/>
  <c r="AQ82" i="20"/>
  <c r="AR27" i="18"/>
  <c r="AR28" i="18" s="1"/>
  <c r="AR40" i="18"/>
  <c r="AR41" i="18" s="1"/>
  <c r="AE11" i="31"/>
  <c r="AE12" i="31" s="1"/>
  <c r="AE22" i="9" s="1"/>
  <c r="AE24" i="9" s="1"/>
  <c r="AF11" i="9"/>
  <c r="AE9" i="8"/>
  <c r="AS16" i="37"/>
  <c r="AS71" i="12"/>
  <c r="AS73" i="12" s="1"/>
  <c r="AS63" i="12"/>
  <c r="AS65" i="12" s="1"/>
  <c r="U16" i="38"/>
  <c r="AG77" i="20"/>
  <c r="AG78" i="20" s="1"/>
  <c r="AG69" i="20"/>
  <c r="AS11" i="37" l="1"/>
  <c r="AS20" i="17"/>
  <c r="AS22" i="17" s="1"/>
  <c r="AS13" i="15"/>
  <c r="AS14" i="15" s="1"/>
  <c r="AS21" i="13"/>
  <c r="AS23" i="13" s="1"/>
  <c r="AS39" i="12"/>
  <c r="AY41" i="12" s="1"/>
  <c r="AS48" i="12"/>
  <c r="AS50" i="12" s="1"/>
  <c r="AS17" i="9"/>
  <c r="AS18" i="9" s="1"/>
  <c r="U11" i="38"/>
  <c r="AR19" i="31"/>
  <c r="AS29" i="19"/>
  <c r="AT28" i="10"/>
  <c r="AS38" i="19"/>
  <c r="AS31" i="19"/>
  <c r="AS21" i="19"/>
  <c r="AS43" i="15"/>
  <c r="AS45" i="15" s="1"/>
  <c r="AS21" i="15"/>
  <c r="AU22" i="15" s="1"/>
  <c r="AR41" i="16"/>
  <c r="AR45" i="16"/>
  <c r="AR46" i="16" s="1"/>
  <c r="AR32" i="16"/>
  <c r="AG11" i="34"/>
  <c r="AG12" i="34" s="1"/>
  <c r="Q11" i="35"/>
  <c r="AQ37" i="9"/>
  <c r="AQ38" i="9" s="1"/>
  <c r="AE23" i="31"/>
  <c r="AE15" i="22"/>
  <c r="AE17" i="22" s="1"/>
  <c r="AE21" i="22" s="1"/>
  <c r="AR46" i="18"/>
  <c r="AR47" i="18" s="1"/>
  <c r="AR42" i="18"/>
  <c r="AR33" i="18"/>
  <c r="AR16" i="28"/>
  <c r="AS15" i="37"/>
  <c r="AT60" i="12"/>
  <c r="U15" i="38"/>
  <c r="L15" i="26"/>
  <c r="O15" i="39"/>
  <c r="AR14" i="18"/>
  <c r="AR29" i="18"/>
  <c r="AF29" i="34"/>
  <c r="AG20" i="31"/>
  <c r="AG21" i="31" s="1"/>
  <c r="AH75" i="20"/>
  <c r="K20" i="24"/>
  <c r="M20" i="33"/>
  <c r="Q20" i="32"/>
  <c r="AR39" i="20"/>
  <c r="AR25" i="20"/>
  <c r="AR27" i="20" s="1"/>
  <c r="AS17" i="37"/>
  <c r="AT70" i="12"/>
  <c r="AS17" i="11"/>
  <c r="AS18" i="11" s="1"/>
  <c r="U17" i="38"/>
  <c r="L17" i="26"/>
  <c r="O17" i="39"/>
  <c r="AT20" i="34"/>
  <c r="AR34" i="17"/>
  <c r="AR35" i="17" s="1"/>
  <c r="AR13" i="17" s="1"/>
  <c r="AR15" i="17" s="1"/>
  <c r="AR48" i="17"/>
  <c r="AU8" i="34" l="1"/>
  <c r="AU44" i="15"/>
  <c r="AR23" i="34"/>
  <c r="AF12" i="9"/>
  <c r="AF13" i="9" s="1"/>
  <c r="AT27" i="10"/>
  <c r="AT29" i="10" s="1"/>
  <c r="AR47" i="16"/>
  <c r="AR33" i="16"/>
  <c r="AS12" i="37"/>
  <c r="AS12" i="13"/>
  <c r="AS13" i="13" s="1"/>
  <c r="AT47" i="12"/>
  <c r="L12" i="26"/>
  <c r="U12" i="38"/>
  <c r="O12" i="39"/>
  <c r="AR16" i="31"/>
  <c r="AS11" i="17"/>
  <c r="AR17" i="28"/>
  <c r="AY13" i="37"/>
  <c r="AY20" i="18"/>
  <c r="AY22" i="18" s="1"/>
  <c r="AY61" i="12"/>
  <c r="AY49" i="12"/>
  <c r="W13" i="38"/>
  <c r="AS48" i="19"/>
  <c r="AS8" i="31"/>
  <c r="AT20" i="13"/>
  <c r="L8" i="24"/>
  <c r="O8" i="33"/>
  <c r="U8" i="32"/>
  <c r="AS32" i="15"/>
  <c r="AS15" i="15"/>
  <c r="AR22" i="34"/>
  <c r="AS10" i="31"/>
  <c r="AT41" i="15"/>
  <c r="O10" i="33"/>
  <c r="U10" i="32"/>
  <c r="L10" i="24"/>
  <c r="AS8" i="28"/>
  <c r="AS11" i="28" s="1"/>
  <c r="AS19" i="16"/>
  <c r="AS21" i="16" s="1"/>
  <c r="AS26" i="11"/>
  <c r="AS27" i="11" s="1"/>
  <c r="U8" i="29"/>
  <c r="AH66" i="20"/>
  <c r="AH68" i="20" s="1"/>
  <c r="AQ25" i="31"/>
  <c r="AQ28" i="9"/>
  <c r="AQ30" i="9" s="1"/>
  <c r="AR36" i="9"/>
  <c r="AS17" i="34"/>
  <c r="AS27" i="17"/>
  <c r="AY28" i="17" s="1"/>
  <c r="AS12" i="17"/>
  <c r="U17" i="35"/>
  <c r="AG23" i="9"/>
  <c r="M21" i="33"/>
  <c r="Q21" i="32"/>
  <c r="K21" i="24"/>
  <c r="AR18" i="28"/>
  <c r="AG15" i="34"/>
  <c r="Q12" i="35"/>
  <c r="AS10" i="34"/>
  <c r="U10" i="35"/>
  <c r="AR40" i="20"/>
  <c r="AR41" i="20" s="1"/>
  <c r="AR46" i="20" s="1"/>
  <c r="AR47" i="20" s="1"/>
  <c r="AR35" i="20"/>
  <c r="AR36" i="20" s="1"/>
  <c r="AS33" i="20" s="1"/>
  <c r="AR48" i="18"/>
  <c r="AR34" i="18"/>
  <c r="AR35" i="18" s="1"/>
  <c r="AR13" i="18" s="1"/>
  <c r="AR15" i="18" s="1"/>
  <c r="AR34" i="16"/>
  <c r="AR13" i="16" s="1"/>
  <c r="AR15" i="16" s="1"/>
  <c r="AS29" i="15"/>
  <c r="AS10" i="12"/>
  <c r="AS11" i="12" s="1"/>
  <c r="AR19" i="28" l="1"/>
  <c r="AR82" i="20"/>
  <c r="AR18" i="31"/>
  <c r="AS11" i="18"/>
  <c r="AR81" i="20"/>
  <c r="AR48" i="20"/>
  <c r="AR76" i="20"/>
  <c r="AS19" i="34"/>
  <c r="AS26" i="16"/>
  <c r="AU27" i="16" s="1"/>
  <c r="AS12" i="16"/>
  <c r="U19" i="35"/>
  <c r="AS9" i="19"/>
  <c r="AS11" i="19" s="1"/>
  <c r="AS22" i="19" s="1"/>
  <c r="AS23" i="19" s="1"/>
  <c r="AS30" i="15"/>
  <c r="AS9" i="20"/>
  <c r="AS10" i="20" s="1"/>
  <c r="U11" i="29"/>
  <c r="AS14" i="34"/>
  <c r="U14" i="35"/>
  <c r="AS40" i="17"/>
  <c r="AS41" i="17" s="1"/>
  <c r="AQ27" i="31"/>
  <c r="AQ16" i="22"/>
  <c r="AR24" i="34"/>
  <c r="AG26" i="34"/>
  <c r="Q15" i="35"/>
  <c r="AT53" i="12"/>
  <c r="AT54" i="12" s="1"/>
  <c r="AT11" i="11"/>
  <c r="AT12" i="11" s="1"/>
  <c r="AT23" i="10"/>
  <c r="AT24" i="10" s="1"/>
  <c r="AR25" i="34"/>
  <c r="AY21" i="34"/>
  <c r="AY12" i="18"/>
  <c r="W21" i="35"/>
  <c r="AS36" i="15"/>
  <c r="AH77" i="20"/>
  <c r="AH78" i="20" s="1"/>
  <c r="AH69" i="20"/>
  <c r="AS26" i="20"/>
  <c r="AY14" i="17"/>
  <c r="AY29" i="17"/>
  <c r="AT11" i="13"/>
  <c r="AT25" i="12"/>
  <c r="AF11" i="31"/>
  <c r="AF12" i="31" s="1"/>
  <c r="AF22" i="9" s="1"/>
  <c r="AF24" i="9" s="1"/>
  <c r="AF9" i="8"/>
  <c r="AG11" i="9"/>
  <c r="AR17" i="31"/>
  <c r="AS11" i="16"/>
  <c r="AS14" i="31"/>
  <c r="AT24" i="11"/>
  <c r="L14" i="24"/>
  <c r="O14" i="33"/>
  <c r="U14" i="32"/>
  <c r="AS29" i="13"/>
  <c r="AS31" i="13" s="1"/>
  <c r="AS14" i="13"/>
  <c r="AS13" i="28" l="1"/>
  <c r="AS14" i="28" s="1"/>
  <c r="U13" i="29"/>
  <c r="AS39" i="16"/>
  <c r="AS40" i="16" s="1"/>
  <c r="AS15" i="31"/>
  <c r="AT28" i="15"/>
  <c r="U15" i="32"/>
  <c r="O15" i="33"/>
  <c r="L15" i="24"/>
  <c r="AT16" i="37"/>
  <c r="AT63" i="12"/>
  <c r="AT65" i="12" s="1"/>
  <c r="AT71" i="12"/>
  <c r="AT73" i="12" s="1"/>
  <c r="AS46" i="17"/>
  <c r="AS47" i="17" s="1"/>
  <c r="AS33" i="17"/>
  <c r="AS42" i="17"/>
  <c r="AR21" i="28"/>
  <c r="AR22" i="28" s="1"/>
  <c r="AY18" i="34"/>
  <c r="W18" i="35"/>
  <c r="AG29" i="34"/>
  <c r="Q26" i="35"/>
  <c r="AT28" i="13"/>
  <c r="AS32" i="13"/>
  <c r="AS49" i="19"/>
  <c r="AS51" i="19" s="1"/>
  <c r="AS36" i="19" s="1"/>
  <c r="AT37" i="19" s="1"/>
  <c r="AS30" i="19"/>
  <c r="AS32" i="19" s="1"/>
  <c r="AS27" i="18"/>
  <c r="AS28" i="18" s="1"/>
  <c r="AS40" i="18"/>
  <c r="AS41" i="18" s="1"/>
  <c r="AH11" i="34"/>
  <c r="AH12" i="34" s="1"/>
  <c r="AT10" i="37"/>
  <c r="AU20" i="10"/>
  <c r="AT24" i="12"/>
  <c r="AT26" i="12" s="1"/>
  <c r="AT31" i="12" s="1"/>
  <c r="AT33" i="12" s="1"/>
  <c r="AS20" i="20"/>
  <c r="AS21" i="20" s="1"/>
  <c r="AS34" i="20" s="1"/>
  <c r="AS14" i="20"/>
  <c r="AS15" i="20" s="1"/>
  <c r="AU28" i="16"/>
  <c r="AU14" i="16"/>
  <c r="AF23" i="31"/>
  <c r="AF15" i="22"/>
  <c r="AF17" i="22" s="1"/>
  <c r="AF21" i="22" s="1"/>
  <c r="AH20" i="31"/>
  <c r="AH21" i="31" s="1"/>
  <c r="AH23" i="9" s="1"/>
  <c r="AI75" i="20"/>
  <c r="AT16" i="19"/>
  <c r="AT17" i="19" s="1"/>
  <c r="AT20" i="15"/>
  <c r="AT42" i="15"/>
  <c r="AT25" i="11"/>
  <c r="AT17" i="37" l="1"/>
  <c r="AU70" i="12"/>
  <c r="AT17" i="11"/>
  <c r="AT18" i="11" s="1"/>
  <c r="AS9" i="31"/>
  <c r="L9" i="24"/>
  <c r="O9" i="33"/>
  <c r="U9" i="32"/>
  <c r="AR37" i="9"/>
  <c r="AR38" i="9" s="1"/>
  <c r="AT15" i="37"/>
  <c r="AU60" i="12"/>
  <c r="AS19" i="31"/>
  <c r="AT29" i="19"/>
  <c r="L19" i="24"/>
  <c r="O19" i="33"/>
  <c r="U19" i="32"/>
  <c r="AT21" i="19"/>
  <c r="AT21" i="15"/>
  <c r="AV22" i="15" s="1"/>
  <c r="AT43" i="15"/>
  <c r="AT45" i="15" s="1"/>
  <c r="AS25" i="20"/>
  <c r="AS27" i="20" s="1"/>
  <c r="AS39" i="20"/>
  <c r="AH15" i="34"/>
  <c r="AS16" i="28"/>
  <c r="U16" i="29"/>
  <c r="AS45" i="16"/>
  <c r="AS46" i="16" s="1"/>
  <c r="AS41" i="16"/>
  <c r="AS32" i="16"/>
  <c r="AT31" i="19"/>
  <c r="AT38" i="19"/>
  <c r="AU20" i="34"/>
  <c r="AI66" i="20"/>
  <c r="AI68" i="20" s="1"/>
  <c r="AT11" i="37"/>
  <c r="AT20" i="17"/>
  <c r="AT22" i="17" s="1"/>
  <c r="AT13" i="15"/>
  <c r="AT14" i="15" s="1"/>
  <c r="AT21" i="13"/>
  <c r="AT23" i="13" s="1"/>
  <c r="AT48" i="12"/>
  <c r="AT50" i="12" s="1"/>
  <c r="AT17" i="9"/>
  <c r="AT18" i="9" s="1"/>
  <c r="AT39" i="12"/>
  <c r="AZ41" i="12" s="1"/>
  <c r="AG12" i="9"/>
  <c r="AG13" i="9" s="1"/>
  <c r="Q29" i="35"/>
  <c r="AS34" i="17"/>
  <c r="AS35" i="17" s="1"/>
  <c r="AS13" i="17" s="1"/>
  <c r="AS15" i="17" s="1"/>
  <c r="AS48" i="17"/>
  <c r="U14" i="29"/>
  <c r="AS29" i="18"/>
  <c r="AS14" i="18"/>
  <c r="AU28" i="10"/>
  <c r="AS33" i="18"/>
  <c r="AS42" i="18"/>
  <c r="AS46" i="18"/>
  <c r="AS47" i="18" s="1"/>
  <c r="AV8" i="34" l="1"/>
  <c r="AV44" i="15"/>
  <c r="V8" i="35"/>
  <c r="AS16" i="31"/>
  <c r="AT11" i="17"/>
  <c r="U16" i="32"/>
  <c r="O16" i="33"/>
  <c r="L16" i="24"/>
  <c r="AT17" i="34"/>
  <c r="AT12" i="17"/>
  <c r="AT27" i="17"/>
  <c r="AZ28" i="17" s="1"/>
  <c r="AT10" i="34"/>
  <c r="AU27" i="10"/>
  <c r="AU29" i="10" s="1"/>
  <c r="AT10" i="31"/>
  <c r="AU41" i="15"/>
  <c r="AT8" i="28"/>
  <c r="AT11" i="28" s="1"/>
  <c r="AT19" i="16"/>
  <c r="AT21" i="16" s="1"/>
  <c r="AT26" i="11"/>
  <c r="AT27" i="11" s="1"/>
  <c r="AS48" i="18"/>
  <c r="AS34" i="18"/>
  <c r="AS35" i="18" s="1"/>
  <c r="AS13" i="18" s="1"/>
  <c r="AS15" i="18" s="1"/>
  <c r="AI77" i="20"/>
  <c r="AI78" i="20" s="1"/>
  <c r="AI69" i="20"/>
  <c r="AT29" i="15"/>
  <c r="AT10" i="12"/>
  <c r="AT11" i="12" s="1"/>
  <c r="AR25" i="31"/>
  <c r="AS36" i="9"/>
  <c r="AR28" i="9"/>
  <c r="AR30" i="9" s="1"/>
  <c r="AS22" i="34"/>
  <c r="U22" i="35"/>
  <c r="AS18" i="28"/>
  <c r="U18" i="29"/>
  <c r="AT12" i="37"/>
  <c r="AT12" i="13"/>
  <c r="AT13" i="13" s="1"/>
  <c r="AU47" i="12"/>
  <c r="AS17" i="28"/>
  <c r="U17" i="29"/>
  <c r="AH26" i="34"/>
  <c r="AZ13" i="37"/>
  <c r="AZ20" i="18"/>
  <c r="AZ22" i="18" s="1"/>
  <c r="AZ61" i="12"/>
  <c r="AZ49" i="12"/>
  <c r="AS23" i="34"/>
  <c r="U23" i="35"/>
  <c r="AT8" i="31"/>
  <c r="AU20" i="13"/>
  <c r="AS47" i="16"/>
  <c r="AS33" i="16"/>
  <c r="AS34" i="16" s="1"/>
  <c r="AS13" i="16" s="1"/>
  <c r="AS15" i="16" s="1"/>
  <c r="AG11" i="31"/>
  <c r="AG12" i="31" s="1"/>
  <c r="AG9" i="8"/>
  <c r="AH11" i="9"/>
  <c r="M11" i="33"/>
  <c r="Q11" i="32"/>
  <c r="K11" i="24"/>
  <c r="AT32" i="15"/>
  <c r="AT15" i="15"/>
  <c r="AS40" i="20"/>
  <c r="AS41" i="20" s="1"/>
  <c r="AS46" i="20" s="1"/>
  <c r="AS47" i="20" s="1"/>
  <c r="AS35" i="20"/>
  <c r="AS36" i="20" s="1"/>
  <c r="AT33" i="20" s="1"/>
  <c r="AT48" i="19"/>
  <c r="AS18" i="31" l="1"/>
  <c r="AT11" i="18"/>
  <c r="L18" i="24"/>
  <c r="U18" i="32"/>
  <c r="O18" i="33"/>
  <c r="AS76" i="20"/>
  <c r="AS81" i="20"/>
  <c r="AS48" i="20"/>
  <c r="AS17" i="31"/>
  <c r="AT11" i="16"/>
  <c r="L17" i="24"/>
  <c r="U17" i="32"/>
  <c r="O17" i="33"/>
  <c r="AT40" i="17"/>
  <c r="AT41" i="17" s="1"/>
  <c r="AU53" i="12"/>
  <c r="AU54" i="12" s="1"/>
  <c r="AU11" i="11"/>
  <c r="AU12" i="11" s="1"/>
  <c r="AU23" i="10"/>
  <c r="AU24" i="10" s="1"/>
  <c r="AT26" i="20"/>
  <c r="AH29" i="34"/>
  <c r="AT14" i="31"/>
  <c r="AU24" i="11"/>
  <c r="AZ29" i="17"/>
  <c r="AZ14" i="17"/>
  <c r="AT9" i="19"/>
  <c r="AT11" i="19" s="1"/>
  <c r="AT22" i="19" s="1"/>
  <c r="AT23" i="19" s="1"/>
  <c r="AT30" i="15"/>
  <c r="AT36" i="15" s="1"/>
  <c r="AI11" i="34"/>
  <c r="AI12" i="34" s="1"/>
  <c r="AT19" i="34"/>
  <c r="AT26" i="16"/>
  <c r="AV27" i="16" s="1"/>
  <c r="AT12" i="16"/>
  <c r="AT14" i="34"/>
  <c r="AS19" i="28"/>
  <c r="AR27" i="31"/>
  <c r="AR16" i="22"/>
  <c r="AI20" i="31"/>
  <c r="AI21" i="31" s="1"/>
  <c r="AI23" i="9" s="1"/>
  <c r="AJ75" i="20"/>
  <c r="AT9" i="20"/>
  <c r="AT10" i="20" s="1"/>
  <c r="AU11" i="13"/>
  <c r="AG22" i="9"/>
  <c r="AG24" i="9" s="1"/>
  <c r="M12" i="33"/>
  <c r="Q12" i="32"/>
  <c r="K12" i="24"/>
  <c r="AS24" i="34"/>
  <c r="U24" i="35"/>
  <c r="AZ21" i="34"/>
  <c r="AZ12" i="18"/>
  <c r="AU25" i="12"/>
  <c r="AT14" i="13"/>
  <c r="AT29" i="13"/>
  <c r="AT31" i="13" s="1"/>
  <c r="AS25" i="34"/>
  <c r="U25" i="35"/>
  <c r="AT15" i="31" l="1"/>
  <c r="AU28" i="15"/>
  <c r="AI15" i="34"/>
  <c r="AU16" i="37"/>
  <c r="AU63" i="12"/>
  <c r="AU65" i="12" s="1"/>
  <c r="AU71" i="12"/>
  <c r="AU73" i="12" s="1"/>
  <c r="AS21" i="28"/>
  <c r="AS22" i="28" s="1"/>
  <c r="U21" i="29"/>
  <c r="AS82" i="20"/>
  <c r="U19" i="29"/>
  <c r="AT49" i="19"/>
  <c r="AT51" i="19" s="1"/>
  <c r="AT36" i="19" s="1"/>
  <c r="AU37" i="19" s="1"/>
  <c r="AT30" i="19"/>
  <c r="AT32" i="19" s="1"/>
  <c r="AH12" i="9"/>
  <c r="AH13" i="9" s="1"/>
  <c r="AT46" i="17"/>
  <c r="AT47" i="17" s="1"/>
  <c r="AT33" i="17"/>
  <c r="AT42" i="17"/>
  <c r="AV14" i="16"/>
  <c r="AV28" i="16"/>
  <c r="AZ18" i="34"/>
  <c r="AT14" i="20"/>
  <c r="AT15" i="20" s="1"/>
  <c r="AT20" i="20"/>
  <c r="AT21" i="20" s="1"/>
  <c r="AT34" i="20" s="1"/>
  <c r="AT32" i="13"/>
  <c r="AT9" i="31" s="1"/>
  <c r="AU28" i="13"/>
  <c r="AU10" i="37"/>
  <c r="AU24" i="12"/>
  <c r="AU26" i="12" s="1"/>
  <c r="AU31" i="12" s="1"/>
  <c r="AU33" i="12" s="1"/>
  <c r="AV20" i="10"/>
  <c r="AT39" i="16"/>
  <c r="AT40" i="16" s="1"/>
  <c r="AT27" i="18"/>
  <c r="AT28" i="18" s="1"/>
  <c r="AT40" i="18"/>
  <c r="AT41" i="18" s="1"/>
  <c r="AG23" i="31"/>
  <c r="AG15" i="22"/>
  <c r="AG17" i="22" s="1"/>
  <c r="AG21" i="22" s="1"/>
  <c r="Q23" i="32"/>
  <c r="M23" i="33"/>
  <c r="K23" i="24"/>
  <c r="AT13" i="28"/>
  <c r="AT14" i="28" s="1"/>
  <c r="AJ66" i="20"/>
  <c r="AJ68" i="20" s="1"/>
  <c r="AU16" i="19"/>
  <c r="AU17" i="19" s="1"/>
  <c r="AU42" i="15"/>
  <c r="AU20" i="15"/>
  <c r="AU25" i="11"/>
  <c r="AV28" i="10" l="1"/>
  <c r="AT39" i="20"/>
  <c r="AT25" i="20"/>
  <c r="AT27" i="20" s="1"/>
  <c r="AT34" i="17"/>
  <c r="AT35" i="17" s="1"/>
  <c r="AT13" i="17" s="1"/>
  <c r="AT15" i="17" s="1"/>
  <c r="AT48" i="17"/>
  <c r="AU15" i="37"/>
  <c r="AV60" i="12"/>
  <c r="AU11" i="37"/>
  <c r="AU20" i="17"/>
  <c r="AU22" i="17" s="1"/>
  <c r="AU21" i="13"/>
  <c r="AU23" i="13" s="1"/>
  <c r="AU13" i="15"/>
  <c r="AU14" i="15" s="1"/>
  <c r="AU39" i="12"/>
  <c r="BA41" i="12" s="1"/>
  <c r="AU48" i="12"/>
  <c r="AU50" i="12" s="1"/>
  <c r="AU17" i="9"/>
  <c r="AU18" i="9" s="1"/>
  <c r="AS37" i="9"/>
  <c r="AS38" i="9" s="1"/>
  <c r="U22" i="29"/>
  <c r="AJ77" i="20"/>
  <c r="AJ78" i="20" s="1"/>
  <c r="AJ69" i="20"/>
  <c r="AH11" i="31"/>
  <c r="AH12" i="31" s="1"/>
  <c r="AH22" i="9" s="1"/>
  <c r="AH24" i="9" s="1"/>
  <c r="AH9" i="8"/>
  <c r="AI11" i="9"/>
  <c r="AT33" i="18"/>
  <c r="AT46" i="18"/>
  <c r="AT47" i="18" s="1"/>
  <c r="AT42" i="18"/>
  <c r="AT29" i="18"/>
  <c r="AT14" i="18"/>
  <c r="AT19" i="31"/>
  <c r="AU29" i="19"/>
  <c r="AI26" i="34"/>
  <c r="AW22" i="15"/>
  <c r="AU21" i="19"/>
  <c r="AU43" i="15"/>
  <c r="AU45" i="15" s="1"/>
  <c r="AU21" i="15"/>
  <c r="AT16" i="28"/>
  <c r="AU31" i="19"/>
  <c r="AU38" i="19"/>
  <c r="AV20" i="34"/>
  <c r="V20" i="35"/>
  <c r="AT41" i="16"/>
  <c r="AT32" i="16"/>
  <c r="AT45" i="16"/>
  <c r="AT46" i="16" s="1"/>
  <c r="AU17" i="37"/>
  <c r="AV70" i="12"/>
  <c r="AU17" i="11"/>
  <c r="AU18" i="11" s="1"/>
  <c r="AU10" i="31" l="1"/>
  <c r="AV41" i="15"/>
  <c r="AT16" i="31"/>
  <c r="AU11" i="17"/>
  <c r="AU48" i="19"/>
  <c r="AU29" i="15"/>
  <c r="AU10" i="12"/>
  <c r="AU11" i="12" s="1"/>
  <c r="AJ11" i="34"/>
  <c r="AJ12" i="34" s="1"/>
  <c r="R11" i="35"/>
  <c r="AU12" i="37"/>
  <c r="AU12" i="13"/>
  <c r="AU13" i="13" s="1"/>
  <c r="AV47" i="12"/>
  <c r="AT23" i="34"/>
  <c r="AT47" i="16"/>
  <c r="AT33" i="16"/>
  <c r="AT34" i="16" s="1"/>
  <c r="AT13" i="16" s="1"/>
  <c r="AT15" i="16" s="1"/>
  <c r="AU10" i="34"/>
  <c r="AT18" i="28"/>
  <c r="AJ20" i="31"/>
  <c r="AJ21" i="31" s="1"/>
  <c r="AK75" i="20"/>
  <c r="R20" i="32"/>
  <c r="BA13" i="37"/>
  <c r="BA20" i="18"/>
  <c r="BA22" i="18" s="1"/>
  <c r="BA61" i="12"/>
  <c r="BA49" i="12"/>
  <c r="AW8" i="34"/>
  <c r="AW44" i="15"/>
  <c r="AT48" i="18"/>
  <c r="AT34" i="18"/>
  <c r="AT35" i="18" s="1"/>
  <c r="AT13" i="18" s="1"/>
  <c r="AT15" i="18" s="1"/>
  <c r="AU15" i="15"/>
  <c r="AU32" i="15"/>
  <c r="AT35" i="20"/>
  <c r="AT36" i="20" s="1"/>
  <c r="AU33" i="20" s="1"/>
  <c r="AT40" i="20"/>
  <c r="AT41" i="20" s="1"/>
  <c r="AT46" i="20" s="1"/>
  <c r="AT47" i="20" s="1"/>
  <c r="AT17" i="28"/>
  <c r="AT19" i="28" s="1"/>
  <c r="AT22" i="34"/>
  <c r="AS25" i="31"/>
  <c r="AT36" i="9"/>
  <c r="AS28" i="9"/>
  <c r="AS30" i="9" s="1"/>
  <c r="U25" i="32"/>
  <c r="L25" i="24"/>
  <c r="O25" i="33"/>
  <c r="AU8" i="31"/>
  <c r="AV20" i="13"/>
  <c r="AU17" i="34"/>
  <c r="AU27" i="17"/>
  <c r="BA28" i="17" s="1"/>
  <c r="AU12" i="17"/>
  <c r="AU8" i="28"/>
  <c r="AU11" i="28" s="1"/>
  <c r="AU19" i="16"/>
  <c r="AU21" i="16" s="1"/>
  <c r="AU26" i="11"/>
  <c r="AU27" i="11" s="1"/>
  <c r="AI29" i="34"/>
  <c r="AH23" i="31"/>
  <c r="AH15" i="22"/>
  <c r="AH17" i="22" s="1"/>
  <c r="AH21" i="22" s="1"/>
  <c r="AV27" i="10"/>
  <c r="AV29" i="10" s="1"/>
  <c r="AK66" i="20" l="1"/>
  <c r="AK68" i="20" s="1"/>
  <c r="AU9" i="19"/>
  <c r="AU11" i="19" s="1"/>
  <c r="AU22" i="19" s="1"/>
  <c r="AU23" i="19" s="1"/>
  <c r="AU30" i="15"/>
  <c r="AU14" i="34"/>
  <c r="AJ23" i="9"/>
  <c r="R21" i="32"/>
  <c r="AV25" i="12"/>
  <c r="AU36" i="15"/>
  <c r="AU14" i="13"/>
  <c r="AU29" i="13"/>
  <c r="AU31" i="13" s="1"/>
  <c r="AU14" i="31"/>
  <c r="AV24" i="11"/>
  <c r="AS27" i="31"/>
  <c r="AS16" i="22"/>
  <c r="O27" i="33"/>
  <c r="L27" i="24"/>
  <c r="U27" i="32"/>
  <c r="AU19" i="34"/>
  <c r="AU26" i="16"/>
  <c r="AW27" i="16" s="1"/>
  <c r="AU12" i="16"/>
  <c r="AT25" i="34"/>
  <c r="BA29" i="17"/>
  <c r="BA14" i="17"/>
  <c r="AI12" i="9"/>
  <c r="AI13" i="9" s="1"/>
  <c r="AU9" i="20"/>
  <c r="AU10" i="20" s="1"/>
  <c r="AT76" i="20"/>
  <c r="AT81" i="20"/>
  <c r="AT48" i="20"/>
  <c r="AT24" i="34"/>
  <c r="AU40" i="17"/>
  <c r="AU41" i="17" s="1"/>
  <c r="AV11" i="13"/>
  <c r="AT18" i="31"/>
  <c r="AU11" i="18"/>
  <c r="AT82" i="20"/>
  <c r="BA21" i="34"/>
  <c r="BA12" i="18"/>
  <c r="AT17" i="31"/>
  <c r="AU11" i="16"/>
  <c r="AV53" i="12"/>
  <c r="AV54" i="12" s="1"/>
  <c r="AV11" i="11"/>
  <c r="AV12" i="11" s="1"/>
  <c r="AV23" i="10"/>
  <c r="AV24" i="10" s="1"/>
  <c r="AU26" i="20"/>
  <c r="AJ15" i="34"/>
  <c r="R12" i="35"/>
  <c r="AU13" i="28" l="1"/>
  <c r="AU14" i="28" s="1"/>
  <c r="AI11" i="31"/>
  <c r="AI12" i="31" s="1"/>
  <c r="AI22" i="9" s="1"/>
  <c r="AI24" i="9" s="1"/>
  <c r="AJ11" i="9"/>
  <c r="AI9" i="8"/>
  <c r="AJ26" i="34"/>
  <c r="R15" i="35"/>
  <c r="AU15" i="31"/>
  <c r="AV28" i="15"/>
  <c r="AU46" i="17"/>
  <c r="AU47" i="17" s="1"/>
  <c r="AU33" i="17"/>
  <c r="AU42" i="17"/>
  <c r="AV10" i="37"/>
  <c r="AV24" i="12"/>
  <c r="AV26" i="12" s="1"/>
  <c r="AV31" i="12" s="1"/>
  <c r="AV33" i="12" s="1"/>
  <c r="AW20" i="10"/>
  <c r="V10" i="38"/>
  <c r="BA18" i="34"/>
  <c r="AU40" i="18"/>
  <c r="AU41" i="18" s="1"/>
  <c r="AU27" i="18"/>
  <c r="AU28" i="18" s="1"/>
  <c r="AU20" i="20"/>
  <c r="AU21" i="20" s="1"/>
  <c r="AU34" i="20" s="1"/>
  <c r="AU14" i="20"/>
  <c r="AU15" i="20" s="1"/>
  <c r="AU49" i="19"/>
  <c r="AU51" i="19" s="1"/>
  <c r="AU36" i="19" s="1"/>
  <c r="AV37" i="19" s="1"/>
  <c r="AU30" i="19"/>
  <c r="AU32" i="19" s="1"/>
  <c r="AV16" i="19"/>
  <c r="AV17" i="19" s="1"/>
  <c r="AV42" i="15"/>
  <c r="AV20" i="15"/>
  <c r="AV25" i="11"/>
  <c r="AV16" i="37"/>
  <c r="AV63" i="12"/>
  <c r="AV65" i="12" s="1"/>
  <c r="AV71" i="12"/>
  <c r="AV73" i="12" s="1"/>
  <c r="V16" i="38"/>
  <c r="AU39" i="16"/>
  <c r="AU40" i="16" s="1"/>
  <c r="AT21" i="28"/>
  <c r="AT22" i="28" s="1"/>
  <c r="AW28" i="16"/>
  <c r="AW14" i="16"/>
  <c r="AK77" i="20"/>
  <c r="AK78" i="20" s="1"/>
  <c r="AK69" i="20"/>
  <c r="AU32" i="13"/>
  <c r="AU9" i="31" s="1"/>
  <c r="AV28" i="13"/>
  <c r="AV21" i="19" l="1"/>
  <c r="AV43" i="15"/>
  <c r="AV21" i="15"/>
  <c r="AX22" i="15" s="1"/>
  <c r="AU48" i="17"/>
  <c r="AU34" i="17"/>
  <c r="AU35" i="17" s="1"/>
  <c r="AU13" i="17" s="1"/>
  <c r="AU15" i="17" s="1"/>
  <c r="AV31" i="19"/>
  <c r="AV38" i="19"/>
  <c r="AI23" i="31"/>
  <c r="AI15" i="22"/>
  <c r="AI17" i="22" s="1"/>
  <c r="AI21" i="22" s="1"/>
  <c r="AV17" i="37"/>
  <c r="AW70" i="12"/>
  <c r="AV17" i="11"/>
  <c r="AV18" i="11" s="1"/>
  <c r="V17" i="38"/>
  <c r="AV15" i="37"/>
  <c r="AW60" i="12"/>
  <c r="V15" i="38"/>
  <c r="AU19" i="31"/>
  <c r="AV29" i="19"/>
  <c r="AK11" i="34"/>
  <c r="AK12" i="34" s="1"/>
  <c r="AU39" i="20"/>
  <c r="AU25" i="20"/>
  <c r="AU27" i="20" s="1"/>
  <c r="AW28" i="10"/>
  <c r="AU45" i="16"/>
  <c r="AU46" i="16" s="1"/>
  <c r="AU32" i="16"/>
  <c r="AU41" i="16"/>
  <c r="AU29" i="18"/>
  <c r="AU14" i="18"/>
  <c r="AT37" i="9"/>
  <c r="AT38" i="9" s="1"/>
  <c r="AK20" i="31"/>
  <c r="AK21" i="31" s="1"/>
  <c r="AK23" i="9" s="1"/>
  <c r="AL75" i="20"/>
  <c r="AV11" i="37"/>
  <c r="AV20" i="17"/>
  <c r="AV22" i="17" s="1"/>
  <c r="AV13" i="15"/>
  <c r="AV14" i="15" s="1"/>
  <c r="AV21" i="13"/>
  <c r="AV23" i="13" s="1"/>
  <c r="AV39" i="12"/>
  <c r="BB41" i="12" s="1"/>
  <c r="AV48" i="12"/>
  <c r="AV50" i="12" s="1"/>
  <c r="AV17" i="9"/>
  <c r="AV18" i="9" s="1"/>
  <c r="V11" i="38"/>
  <c r="AW20" i="34"/>
  <c r="AV45" i="15"/>
  <c r="AU33" i="18"/>
  <c r="AU46" i="18"/>
  <c r="AU47" i="18" s="1"/>
  <c r="AU42" i="18"/>
  <c r="AU16" i="28"/>
  <c r="AJ29" i="34"/>
  <c r="R26" i="35"/>
  <c r="AU16" i="31" l="1"/>
  <c r="AV11" i="17"/>
  <c r="AU18" i="28"/>
  <c r="AJ12" i="9"/>
  <c r="AJ13" i="9" s="1"/>
  <c r="R29" i="35"/>
  <c r="AV10" i="31"/>
  <c r="AW41" i="15"/>
  <c r="V10" i="32"/>
  <c r="AV29" i="15"/>
  <c r="AV10" i="12"/>
  <c r="AV11" i="12" s="1"/>
  <c r="AV12" i="37"/>
  <c r="AV12" i="13"/>
  <c r="AV13" i="13" s="1"/>
  <c r="AW47" i="12"/>
  <c r="V12" i="38"/>
  <c r="AU40" i="20"/>
  <c r="AU41" i="20" s="1"/>
  <c r="AU46" i="20" s="1"/>
  <c r="AU47" i="20" s="1"/>
  <c r="AU35" i="20"/>
  <c r="AU36" i="20" s="1"/>
  <c r="AV33" i="20" s="1"/>
  <c r="BB13" i="37"/>
  <c r="BB20" i="18"/>
  <c r="BB22" i="18" s="1"/>
  <c r="BB61" i="12"/>
  <c r="BB49" i="12"/>
  <c r="X13" i="38"/>
  <c r="AU22" i="34"/>
  <c r="AU23" i="34"/>
  <c r="AX8" i="34"/>
  <c r="AX44" i="15"/>
  <c r="AV15" i="15"/>
  <c r="AV32" i="15"/>
  <c r="AT25" i="31"/>
  <c r="AT28" i="9"/>
  <c r="AT30" i="9" s="1"/>
  <c r="AU36" i="9"/>
  <c r="AU17" i="28"/>
  <c r="AU19" i="28" s="1"/>
  <c r="AW27" i="10"/>
  <c r="AW29" i="10" s="1"/>
  <c r="AV8" i="31"/>
  <c r="AW20" i="13"/>
  <c r="V8" i="32"/>
  <c r="AV17" i="34"/>
  <c r="AV27" i="17"/>
  <c r="BB28" i="17" s="1"/>
  <c r="AV12" i="17"/>
  <c r="V17" i="35"/>
  <c r="AU34" i="16"/>
  <c r="AU13" i="16" s="1"/>
  <c r="AU15" i="16" s="1"/>
  <c r="AU34" i="18"/>
  <c r="AU35" i="18" s="1"/>
  <c r="AU13" i="18" s="1"/>
  <c r="AU15" i="18" s="1"/>
  <c r="AU48" i="18"/>
  <c r="AU47" i="16"/>
  <c r="AU33" i="16"/>
  <c r="AK15" i="34"/>
  <c r="AV10" i="34"/>
  <c r="V10" i="35"/>
  <c r="AL66" i="20"/>
  <c r="AL68" i="20" s="1"/>
  <c r="AV48" i="19"/>
  <c r="AV8" i="28"/>
  <c r="AV11" i="28" s="1"/>
  <c r="AV19" i="16"/>
  <c r="AV21" i="16" s="1"/>
  <c r="AV26" i="11"/>
  <c r="AV27" i="11" s="1"/>
  <c r="V8" i="29"/>
  <c r="AU82" i="20" l="1"/>
  <c r="AU81" i="20"/>
  <c r="AU76" i="20"/>
  <c r="AU48" i="20"/>
  <c r="AU18" i="31"/>
  <c r="AV11" i="18"/>
  <c r="AV9" i="19"/>
  <c r="AV11" i="19" s="1"/>
  <c r="AV22" i="19" s="1"/>
  <c r="AV23" i="19" s="1"/>
  <c r="AV30" i="15"/>
  <c r="AV36" i="15" s="1"/>
  <c r="AJ11" i="31"/>
  <c r="AJ12" i="31" s="1"/>
  <c r="AJ9" i="8"/>
  <c r="AK11" i="9"/>
  <c r="R11" i="32"/>
  <c r="AV26" i="20"/>
  <c r="AU25" i="34"/>
  <c r="AU17" i="31"/>
  <c r="AV11" i="16"/>
  <c r="AW11" i="13"/>
  <c r="AL77" i="20"/>
  <c r="AL78" i="20" s="1"/>
  <c r="AL69" i="20"/>
  <c r="AT27" i="31"/>
  <c r="AT16" i="22"/>
  <c r="AW25" i="12"/>
  <c r="AV14" i="31"/>
  <c r="AW24" i="11"/>
  <c r="V14" i="32"/>
  <c r="AK26" i="34"/>
  <c r="AW53" i="12"/>
  <c r="AW54" i="12" s="1"/>
  <c r="AW11" i="11"/>
  <c r="AW12" i="11" s="1"/>
  <c r="AW23" i="10"/>
  <c r="AW24" i="10" s="1"/>
  <c r="AV29" i="13"/>
  <c r="AV31" i="13" s="1"/>
  <c r="AV14" i="13"/>
  <c r="AV40" i="17"/>
  <c r="AV41" i="17" s="1"/>
  <c r="AV19" i="34"/>
  <c r="AV12" i="16"/>
  <c r="AV26" i="16"/>
  <c r="AX27" i="16" s="1"/>
  <c r="V19" i="35"/>
  <c r="AV14" i="34"/>
  <c r="V14" i="35"/>
  <c r="AV9" i="20"/>
  <c r="AV10" i="20" s="1"/>
  <c r="V11" i="29"/>
  <c r="AU24" i="34"/>
  <c r="BB29" i="17"/>
  <c r="BB14" i="17"/>
  <c r="BB21" i="34"/>
  <c r="BB12" i="18"/>
  <c r="X21" i="35"/>
  <c r="AW10" i="37" l="1"/>
  <c r="AW24" i="12"/>
  <c r="AW26" i="12" s="1"/>
  <c r="AW31" i="12" s="1"/>
  <c r="AW33" i="12" s="1"/>
  <c r="AX20" i="10"/>
  <c r="AL11" i="34"/>
  <c r="AL12" i="34" s="1"/>
  <c r="AU21" i="28"/>
  <c r="AU22" i="28" s="1"/>
  <c r="AW16" i="19"/>
  <c r="AW17" i="19" s="1"/>
  <c r="AW42" i="15"/>
  <c r="AW20" i="15"/>
  <c r="AW25" i="11"/>
  <c r="AL20" i="31"/>
  <c r="AL21" i="31" s="1"/>
  <c r="AL23" i="9" s="1"/>
  <c r="AM75" i="20"/>
  <c r="AW16" i="37"/>
  <c r="AW63" i="12"/>
  <c r="AW65" i="12" s="1"/>
  <c r="AW71" i="12"/>
  <c r="AW73" i="12" s="1"/>
  <c r="AJ22" i="9"/>
  <c r="AJ24" i="9" s="1"/>
  <c r="R12" i="32"/>
  <c r="AV15" i="31"/>
  <c r="AW28" i="15"/>
  <c r="V15" i="32"/>
  <c r="AV33" i="17"/>
  <c r="AV42" i="17"/>
  <c r="AV46" i="17"/>
  <c r="AV47" i="17" s="1"/>
  <c r="AV39" i="16"/>
  <c r="AV40" i="16" s="1"/>
  <c r="AV49" i="19"/>
  <c r="AV51" i="19" s="1"/>
  <c r="AV36" i="19" s="1"/>
  <c r="AW37" i="19" s="1"/>
  <c r="AV30" i="19"/>
  <c r="AV32" i="19" s="1"/>
  <c r="BB18" i="34"/>
  <c r="X18" i="35"/>
  <c r="AV20" i="20"/>
  <c r="AV21" i="20" s="1"/>
  <c r="AV34" i="20" s="1"/>
  <c r="AV14" i="20"/>
  <c r="AV15" i="20" s="1"/>
  <c r="AV13" i="28"/>
  <c r="AV14" i="28" s="1"/>
  <c r="V13" i="29"/>
  <c r="AK29" i="34"/>
  <c r="AV27" i="18"/>
  <c r="AV28" i="18" s="1"/>
  <c r="AV40" i="18"/>
  <c r="AV41" i="18" s="1"/>
  <c r="AX14" i="16"/>
  <c r="AX28" i="16"/>
  <c r="AV32" i="13"/>
  <c r="AW28" i="13"/>
  <c r="AU37" i="9" l="1"/>
  <c r="AU38" i="9" s="1"/>
  <c r="AW17" i="37"/>
  <c r="AX70" i="12"/>
  <c r="AW17" i="11"/>
  <c r="AW18" i="11" s="1"/>
  <c r="AL15" i="34"/>
  <c r="AW15" i="37"/>
  <c r="AX60" i="12"/>
  <c r="AV9" i="31"/>
  <c r="V9" i="32"/>
  <c r="AV19" i="31"/>
  <c r="AW29" i="19"/>
  <c r="V19" i="32"/>
  <c r="AV33" i="18"/>
  <c r="AV46" i="18"/>
  <c r="AV47" i="18" s="1"/>
  <c r="AV42" i="18"/>
  <c r="AW31" i="19"/>
  <c r="AW38" i="19"/>
  <c r="AV29" i="18"/>
  <c r="AV14" i="18"/>
  <c r="V14" i="29"/>
  <c r="AW21" i="19"/>
  <c r="AW43" i="15"/>
  <c r="AW45" i="15" s="1"/>
  <c r="AW21" i="15"/>
  <c r="AY22" i="15" s="1"/>
  <c r="AX28" i="10"/>
  <c r="AV39" i="20"/>
  <c r="AV25" i="20"/>
  <c r="AV27" i="20" s="1"/>
  <c r="AV41" i="16"/>
  <c r="AV32" i="16"/>
  <c r="AV45" i="16"/>
  <c r="AV46" i="16" s="1"/>
  <c r="AW11" i="37"/>
  <c r="AW20" i="17"/>
  <c r="AW22" i="17" s="1"/>
  <c r="AW21" i="13"/>
  <c r="AW23" i="13" s="1"/>
  <c r="AW13" i="15"/>
  <c r="AW14" i="15" s="1"/>
  <c r="AW39" i="12"/>
  <c r="BC41" i="12" s="1"/>
  <c r="AW48" i="12"/>
  <c r="AW50" i="12" s="1"/>
  <c r="AW17" i="9"/>
  <c r="AW18" i="9" s="1"/>
  <c r="AV16" i="28"/>
  <c r="V16" i="29"/>
  <c r="AX20" i="34"/>
  <c r="AK12" i="9"/>
  <c r="AK13" i="9" s="1"/>
  <c r="AV48" i="17"/>
  <c r="AV34" i="17"/>
  <c r="AV35" i="17" s="1"/>
  <c r="AV13" i="17" s="1"/>
  <c r="AV15" i="17" s="1"/>
  <c r="AJ23" i="31"/>
  <c r="AJ15" i="22"/>
  <c r="AJ17" i="22" s="1"/>
  <c r="AJ21" i="22" s="1"/>
  <c r="R23" i="32"/>
  <c r="AM66" i="20"/>
  <c r="AM68" i="20" s="1"/>
  <c r="AY8" i="34" l="1"/>
  <c r="AY44" i="15"/>
  <c r="W8" i="35"/>
  <c r="AW12" i="37"/>
  <c r="AW12" i="13"/>
  <c r="AW13" i="13" s="1"/>
  <c r="AX47" i="12"/>
  <c r="AV17" i="28"/>
  <c r="AV19" i="28" s="1"/>
  <c r="V17" i="29"/>
  <c r="AV40" i="20"/>
  <c r="AV41" i="20" s="1"/>
  <c r="AV46" i="20" s="1"/>
  <c r="AV47" i="20" s="1"/>
  <c r="AV35" i="20"/>
  <c r="AV36" i="20" s="1"/>
  <c r="AW33" i="20" s="1"/>
  <c r="AV18" i="28"/>
  <c r="V18" i="29"/>
  <c r="AW10" i="31"/>
  <c r="AX41" i="15"/>
  <c r="AW15" i="15"/>
  <c r="AW32" i="15"/>
  <c r="AV34" i="18"/>
  <c r="AV48" i="18"/>
  <c r="AX27" i="10"/>
  <c r="AX29" i="10" s="1"/>
  <c r="AV16" i="31"/>
  <c r="AW11" i="17"/>
  <c r="V16" i="32"/>
  <c r="AV35" i="18"/>
  <c r="AV13" i="18" s="1"/>
  <c r="AV15" i="18" s="1"/>
  <c r="AW8" i="31"/>
  <c r="AX20" i="13"/>
  <c r="AW17" i="34"/>
  <c r="AW27" i="17"/>
  <c r="BC28" i="17" s="1"/>
  <c r="AW12" i="17"/>
  <c r="AW48" i="19"/>
  <c r="AL26" i="34"/>
  <c r="AK11" i="31"/>
  <c r="AK12" i="31" s="1"/>
  <c r="AK22" i="9" s="1"/>
  <c r="AK24" i="9" s="1"/>
  <c r="AL11" i="9"/>
  <c r="AK9" i="8"/>
  <c r="AV33" i="16"/>
  <c r="AV47" i="16"/>
  <c r="AV22" i="34"/>
  <c r="V22" i="35"/>
  <c r="AU25" i="31"/>
  <c r="AV36" i="9"/>
  <c r="AU28" i="9"/>
  <c r="AU30" i="9" s="1"/>
  <c r="BC13" i="37"/>
  <c r="BC20" i="18"/>
  <c r="BC22" i="18" s="1"/>
  <c r="BC61" i="12"/>
  <c r="BC49" i="12"/>
  <c r="AM69" i="20"/>
  <c r="AM77" i="20"/>
  <c r="AM78" i="20" s="1"/>
  <c r="AV23" i="34"/>
  <c r="V23" i="35"/>
  <c r="AW29" i="15"/>
  <c r="AW10" i="12"/>
  <c r="AW11" i="12" s="1"/>
  <c r="AV34" i="16"/>
  <c r="AV13" i="16" s="1"/>
  <c r="AV15" i="16" s="1"/>
  <c r="AW10" i="34"/>
  <c r="AW8" i="28"/>
  <c r="AW11" i="28" s="1"/>
  <c r="AW19" i="16"/>
  <c r="AW21" i="16" s="1"/>
  <c r="AW26" i="11"/>
  <c r="AW27" i="11" s="1"/>
  <c r="AV82" i="20" l="1"/>
  <c r="V19" i="29"/>
  <c r="AV81" i="20"/>
  <c r="AV48" i="20"/>
  <c r="AV76" i="20"/>
  <c r="AV17" i="31"/>
  <c r="AW11" i="16"/>
  <c r="V17" i="32"/>
  <c r="AM20" i="31"/>
  <c r="AM21" i="31" s="1"/>
  <c r="AN75" i="20"/>
  <c r="N20" i="33"/>
  <c r="S20" i="32"/>
  <c r="AU27" i="31"/>
  <c r="AU16" i="22"/>
  <c r="AV18" i="31"/>
  <c r="AW11" i="18"/>
  <c r="V18" i="32"/>
  <c r="AW26" i="20"/>
  <c r="AW9" i="19"/>
  <c r="AW11" i="19" s="1"/>
  <c r="AW22" i="19" s="1"/>
  <c r="AW23" i="19" s="1"/>
  <c r="AW30" i="15"/>
  <c r="AW36" i="15" s="1"/>
  <c r="AW14" i="34"/>
  <c r="AX25" i="12"/>
  <c r="AW19" i="34"/>
  <c r="AW26" i="16"/>
  <c r="AY27" i="16" s="1"/>
  <c r="AW12" i="16"/>
  <c r="AW40" i="17"/>
  <c r="AW41" i="17" s="1"/>
  <c r="AW29" i="13"/>
  <c r="AW31" i="13" s="1"/>
  <c r="AW14" i="13"/>
  <c r="AK23" i="31"/>
  <c r="AK15" i="22"/>
  <c r="AK17" i="22" s="1"/>
  <c r="AK21" i="22" s="1"/>
  <c r="BC29" i="17"/>
  <c r="BC14" i="17"/>
  <c r="AM11" i="34"/>
  <c r="AM12" i="34" s="1"/>
  <c r="S11" i="35"/>
  <c r="AL29" i="34"/>
  <c r="AX53" i="12"/>
  <c r="AX54" i="12" s="1"/>
  <c r="AX11" i="11"/>
  <c r="AX12" i="11" s="1"/>
  <c r="AX23" i="10"/>
  <c r="AX24" i="10" s="1"/>
  <c r="AW14" i="31"/>
  <c r="AX24" i="11"/>
  <c r="AW9" i="20"/>
  <c r="AW10" i="20" s="1"/>
  <c r="BC21" i="34"/>
  <c r="BC12" i="18"/>
  <c r="AX11" i="13"/>
  <c r="AV25" i="34"/>
  <c r="V25" i="35"/>
  <c r="AV24" i="34"/>
  <c r="V24" i="35"/>
  <c r="AW15" i="31" l="1"/>
  <c r="AX28" i="15"/>
  <c r="AX10" i="37"/>
  <c r="AX24" i="12"/>
  <c r="AX26" i="12" s="1"/>
  <c r="AX31" i="12" s="1"/>
  <c r="AX33" i="12" s="1"/>
  <c r="AY20" i="10"/>
  <c r="BC18" i="34"/>
  <c r="AW42" i="17"/>
  <c r="AW46" i="17"/>
  <c r="AW47" i="17" s="1"/>
  <c r="AW33" i="17"/>
  <c r="AW49" i="19"/>
  <c r="AW51" i="19" s="1"/>
  <c r="AW36" i="19" s="1"/>
  <c r="AX37" i="19" s="1"/>
  <c r="AW30" i="19"/>
  <c r="AW32" i="19" s="1"/>
  <c r="AV21" i="28"/>
  <c r="AV22" i="28" s="1"/>
  <c r="V21" i="29"/>
  <c r="AX16" i="19"/>
  <c r="AX17" i="19" s="1"/>
  <c r="AX42" i="15"/>
  <c r="AX20" i="15"/>
  <c r="AX25" i="11"/>
  <c r="AN66" i="20"/>
  <c r="AN68" i="20" s="1"/>
  <c r="AM23" i="9"/>
  <c r="N21" i="33"/>
  <c r="S21" i="32"/>
  <c r="AW14" i="20"/>
  <c r="AW15" i="20" s="1"/>
  <c r="AW20" i="20"/>
  <c r="AW21" i="20" s="1"/>
  <c r="AW34" i="20" s="1"/>
  <c r="AW40" i="18"/>
  <c r="AW41" i="18" s="1"/>
  <c r="AW27" i="18"/>
  <c r="AW28" i="18" s="1"/>
  <c r="AW32" i="13"/>
  <c r="AW9" i="31" s="1"/>
  <c r="AX28" i="13"/>
  <c r="AW39" i="16"/>
  <c r="AW40" i="16" s="1"/>
  <c r="AX16" i="37"/>
  <c r="AX71" i="12"/>
  <c r="AX73" i="12" s="1"/>
  <c r="AX63" i="12"/>
  <c r="AX65" i="12" s="1"/>
  <c r="AL12" i="9"/>
  <c r="AL13" i="9" s="1"/>
  <c r="AW13" i="28"/>
  <c r="AW14" i="28" s="1"/>
  <c r="AM15" i="34"/>
  <c r="S12" i="35"/>
  <c r="AY28" i="16"/>
  <c r="AY14" i="16"/>
  <c r="AW29" i="18" l="1"/>
  <c r="AW14" i="18"/>
  <c r="AN77" i="20"/>
  <c r="AN78" i="20" s="1"/>
  <c r="AN69" i="20"/>
  <c r="AV37" i="9"/>
  <c r="AV38" i="9" s="1"/>
  <c r="V22" i="29"/>
  <c r="AX15" i="37"/>
  <c r="AY60" i="12"/>
  <c r="AX17" i="37"/>
  <c r="AY70" i="12"/>
  <c r="AX17" i="11"/>
  <c r="AX18" i="11" s="1"/>
  <c r="AW19" i="31"/>
  <c r="AX29" i="19"/>
  <c r="AY28" i="10"/>
  <c r="AW39" i="20"/>
  <c r="AW25" i="20"/>
  <c r="AW27" i="20" s="1"/>
  <c r="AX31" i="19"/>
  <c r="AX38" i="19"/>
  <c r="AX11" i="37"/>
  <c r="AX20" i="17"/>
  <c r="AX22" i="17" s="1"/>
  <c r="AX13" i="15"/>
  <c r="AX14" i="15" s="1"/>
  <c r="AX21" i="13"/>
  <c r="AX23" i="13" s="1"/>
  <c r="AX39" i="12"/>
  <c r="BD41" i="12" s="1"/>
  <c r="AX48" i="12"/>
  <c r="AX50" i="12" s="1"/>
  <c r="AX17" i="9"/>
  <c r="AX18" i="9" s="1"/>
  <c r="AW32" i="16"/>
  <c r="AW45" i="16"/>
  <c r="AW46" i="16" s="1"/>
  <c r="AW41" i="16"/>
  <c r="AX45" i="15"/>
  <c r="AY20" i="34"/>
  <c r="W20" i="35"/>
  <c r="AX21" i="19"/>
  <c r="AX43" i="15"/>
  <c r="AX21" i="15"/>
  <c r="AZ22" i="15" s="1"/>
  <c r="AW48" i="17"/>
  <c r="AW34" i="17"/>
  <c r="AW35" i="17" s="1"/>
  <c r="AW13" i="17" s="1"/>
  <c r="AW15" i="17" s="1"/>
  <c r="AW33" i="18"/>
  <c r="AW46" i="18"/>
  <c r="AW47" i="18" s="1"/>
  <c r="AW42" i="18"/>
  <c r="AW16" i="28"/>
  <c r="AL11" i="31"/>
  <c r="AL12" i="31" s="1"/>
  <c r="AL22" i="9" s="1"/>
  <c r="AL24" i="9" s="1"/>
  <c r="AM11" i="9"/>
  <c r="AL9" i="8"/>
  <c r="AM26" i="34"/>
  <c r="S15" i="35"/>
  <c r="AW16" i="31" l="1"/>
  <c r="AX11" i="17"/>
  <c r="AX17" i="34"/>
  <c r="AX27" i="17"/>
  <c r="BD28" i="17" s="1"/>
  <c r="AX12" i="17"/>
  <c r="AX48" i="19"/>
  <c r="AW17" i="28"/>
  <c r="AM29" i="34"/>
  <c r="S26" i="35"/>
  <c r="AW47" i="16"/>
  <c r="AW33" i="16"/>
  <c r="AX29" i="15"/>
  <c r="AX10" i="12"/>
  <c r="AX11" i="12" s="1"/>
  <c r="AX8" i="28"/>
  <c r="AX11" i="28" s="1"/>
  <c r="AX19" i="16"/>
  <c r="AX21" i="16" s="1"/>
  <c r="AX26" i="11"/>
  <c r="AX27" i="11" s="1"/>
  <c r="AV25" i="31"/>
  <c r="AW36" i="9"/>
  <c r="AV28" i="9"/>
  <c r="AV30" i="9" s="1"/>
  <c r="V25" i="32"/>
  <c r="AX10" i="34"/>
  <c r="AW34" i="16"/>
  <c r="AW13" i="16" s="1"/>
  <c r="AW15" i="16" s="1"/>
  <c r="AX12" i="37"/>
  <c r="AY47" i="12"/>
  <c r="AX12" i="13"/>
  <c r="AX13" i="13" s="1"/>
  <c r="AW35" i="20"/>
  <c r="AW36" i="20" s="1"/>
  <c r="AX33" i="20" s="1"/>
  <c r="AW40" i="20"/>
  <c r="AN11" i="34"/>
  <c r="AN12" i="34" s="1"/>
  <c r="AX10" i="31"/>
  <c r="AY41" i="15"/>
  <c r="AW18" i="28"/>
  <c r="BD13" i="37"/>
  <c r="BD20" i="18"/>
  <c r="BD22" i="18" s="1"/>
  <c r="BD61" i="12"/>
  <c r="BD49" i="12"/>
  <c r="AW41" i="20"/>
  <c r="AW46" i="20" s="1"/>
  <c r="AW47" i="20" s="1"/>
  <c r="AN20" i="31"/>
  <c r="AN21" i="31" s="1"/>
  <c r="AN23" i="9" s="1"/>
  <c r="AO75" i="20"/>
  <c r="AZ8" i="34"/>
  <c r="AZ44" i="15"/>
  <c r="AX8" i="31"/>
  <c r="AY20" i="13"/>
  <c r="AY27" i="10"/>
  <c r="AY29" i="10" s="1"/>
  <c r="AW23" i="34"/>
  <c r="AL23" i="31"/>
  <c r="AL15" i="22"/>
  <c r="AL17" i="22" s="1"/>
  <c r="AL21" i="22" s="1"/>
  <c r="AW34" i="18"/>
  <c r="AW35" i="18" s="1"/>
  <c r="AW13" i="18" s="1"/>
  <c r="AW15" i="18" s="1"/>
  <c r="AW48" i="18"/>
  <c r="AX15" i="15"/>
  <c r="AX32" i="15"/>
  <c r="AW22" i="34"/>
  <c r="AY25" i="12" l="1"/>
  <c r="BD21" i="34"/>
  <c r="BD12" i="18"/>
  <c r="AW24" i="34"/>
  <c r="AW25" i="34"/>
  <c r="AW17" i="31"/>
  <c r="AX11" i="16"/>
  <c r="AW18" i="31"/>
  <c r="AX11" i="18"/>
  <c r="AO66" i="20"/>
  <c r="AO68" i="20" s="1"/>
  <c r="AN15" i="34"/>
  <c r="AX14" i="31"/>
  <c r="AY24" i="11"/>
  <c r="AM12" i="9"/>
  <c r="AM13" i="9" s="1"/>
  <c r="S29" i="35"/>
  <c r="AX19" i="34"/>
  <c r="AX12" i="16"/>
  <c r="AX26" i="16"/>
  <c r="AZ27" i="16" s="1"/>
  <c r="BD29" i="17"/>
  <c r="BD14" i="17"/>
  <c r="AY11" i="13"/>
  <c r="AW76" i="20"/>
  <c r="AW81" i="20"/>
  <c r="AW48" i="20"/>
  <c r="AX9" i="20"/>
  <c r="AX10" i="20" s="1"/>
  <c r="AX14" i="34"/>
  <c r="AY53" i="12"/>
  <c r="AY54" i="12" s="1"/>
  <c r="AY11" i="11"/>
  <c r="AY12" i="11" s="1"/>
  <c r="AY23" i="10"/>
  <c r="AY24" i="10" s="1"/>
  <c r="AX26" i="20"/>
  <c r="AX9" i="19"/>
  <c r="AX11" i="19" s="1"/>
  <c r="AX22" i="19" s="1"/>
  <c r="AX23" i="19" s="1"/>
  <c r="AX30" i="15"/>
  <c r="AX36" i="15" s="1"/>
  <c r="AX40" i="17"/>
  <c r="AX41" i="17" s="1"/>
  <c r="AX29" i="13"/>
  <c r="AX31" i="13" s="1"/>
  <c r="AX14" i="13"/>
  <c r="AV27" i="31"/>
  <c r="AV16" i="22"/>
  <c r="V27" i="32"/>
  <c r="AW19" i="28"/>
  <c r="AZ14" i="16" l="1"/>
  <c r="AZ28" i="16"/>
  <c r="AY16" i="37"/>
  <c r="AY71" i="12"/>
  <c r="AY73" i="12" s="1"/>
  <c r="AY63" i="12"/>
  <c r="AY65" i="12" s="1"/>
  <c r="W16" i="38"/>
  <c r="AY16" i="19"/>
  <c r="AY17" i="19" s="1"/>
  <c r="AY42" i="15"/>
  <c r="AY20" i="15"/>
  <c r="AY25" i="11"/>
  <c r="AX15" i="31"/>
  <c r="AY28" i="15"/>
  <c r="AX42" i="17"/>
  <c r="AX33" i="17"/>
  <c r="AX46" i="17"/>
  <c r="AX47" i="17" s="1"/>
  <c r="AO69" i="20"/>
  <c r="AO77" i="20"/>
  <c r="AO78" i="20" s="1"/>
  <c r="AW82" i="20"/>
  <c r="AX13" i="28"/>
  <c r="AX14" i="28" s="1"/>
  <c r="AX14" i="20"/>
  <c r="AX15" i="20" s="1"/>
  <c r="AX20" i="20"/>
  <c r="AX21" i="20" s="1"/>
  <c r="AX34" i="20" s="1"/>
  <c r="AM11" i="31"/>
  <c r="AM12" i="31" s="1"/>
  <c r="AN11" i="9"/>
  <c r="AM9" i="8"/>
  <c r="N11" i="33"/>
  <c r="S11" i="32"/>
  <c r="AX27" i="18"/>
  <c r="AX28" i="18" s="1"/>
  <c r="AX40" i="18"/>
  <c r="AX41" i="18" s="1"/>
  <c r="AN26" i="34"/>
  <c r="AX49" i="19"/>
  <c r="AX51" i="19" s="1"/>
  <c r="AX36" i="19" s="1"/>
  <c r="AY37" i="19" s="1"/>
  <c r="AX30" i="19"/>
  <c r="AX32" i="19" s="1"/>
  <c r="AY28" i="13"/>
  <c r="AX32" i="13"/>
  <c r="AX9" i="31" s="1"/>
  <c r="BD18" i="34"/>
  <c r="AW21" i="28"/>
  <c r="AW22" i="28" s="1"/>
  <c r="AY10" i="37"/>
  <c r="AY24" i="12"/>
  <c r="AY26" i="12" s="1"/>
  <c r="AY31" i="12" s="1"/>
  <c r="AY33" i="12" s="1"/>
  <c r="AZ20" i="10"/>
  <c r="P10" i="39"/>
  <c r="W10" i="38"/>
  <c r="AX39" i="16"/>
  <c r="AX40" i="16" s="1"/>
  <c r="AW37" i="9" l="1"/>
  <c r="AW38" i="9" s="1"/>
  <c r="AY38" i="19"/>
  <c r="AY31" i="19"/>
  <c r="AX48" i="17"/>
  <c r="AX34" i="17"/>
  <c r="AX35" i="17" s="1"/>
  <c r="AX13" i="17" s="1"/>
  <c r="AX15" i="17" s="1"/>
  <c r="AY21" i="19"/>
  <c r="AY43" i="15"/>
  <c r="AY45" i="15" s="1"/>
  <c r="AY21" i="15"/>
  <c r="BA22" i="15" s="1"/>
  <c r="AX16" i="28"/>
  <c r="AY15" i="37"/>
  <c r="AZ60" i="12"/>
  <c r="P15" i="39"/>
  <c r="W15" i="38"/>
  <c r="AM22" i="9"/>
  <c r="AM24" i="9" s="1"/>
  <c r="N12" i="33"/>
  <c r="S12" i="32"/>
  <c r="AY17" i="37"/>
  <c r="AZ70" i="12"/>
  <c r="AY17" i="11"/>
  <c r="AY18" i="11" s="1"/>
  <c r="W17" i="38"/>
  <c r="P17" i="39"/>
  <c r="AN29" i="34"/>
  <c r="AY11" i="37"/>
  <c r="AY20" i="17"/>
  <c r="AY22" i="17" s="1"/>
  <c r="AY13" i="15"/>
  <c r="AY14" i="15" s="1"/>
  <c r="AY21" i="13"/>
  <c r="AY23" i="13" s="1"/>
  <c r="AY39" i="12"/>
  <c r="BE41" i="12" s="1"/>
  <c r="AY48" i="12"/>
  <c r="AY50" i="12" s="1"/>
  <c r="AY17" i="9"/>
  <c r="AY18" i="9" s="1"/>
  <c r="W11" i="38"/>
  <c r="AZ28" i="10"/>
  <c r="AX46" i="18"/>
  <c r="AX47" i="18" s="1"/>
  <c r="AX42" i="18"/>
  <c r="AX33" i="18"/>
  <c r="AX39" i="20"/>
  <c r="AX25" i="20"/>
  <c r="AX27" i="20" s="1"/>
  <c r="AZ20" i="34"/>
  <c r="AX29" i="18"/>
  <c r="AX14" i="18"/>
  <c r="AO20" i="31"/>
  <c r="AO21" i="31" s="1"/>
  <c r="AO23" i="9" s="1"/>
  <c r="AP75" i="20"/>
  <c r="AX45" i="16"/>
  <c r="AX46" i="16" s="1"/>
  <c r="AX32" i="16"/>
  <c r="AX41" i="16"/>
  <c r="AX19" i="31"/>
  <c r="AY29" i="19"/>
  <c r="AO11" i="34"/>
  <c r="AO12" i="34" s="1"/>
  <c r="AX16" i="31" l="1"/>
  <c r="AY11" i="17"/>
  <c r="BA8" i="34"/>
  <c r="BA44" i="15"/>
  <c r="AY17" i="34"/>
  <c r="AY27" i="17"/>
  <c r="BE28" i="17" s="1"/>
  <c r="AY12" i="17"/>
  <c r="W17" i="35"/>
  <c r="AP66" i="20"/>
  <c r="AP68" i="20" s="1"/>
  <c r="AX35" i="20"/>
  <c r="AX36" i="20" s="1"/>
  <c r="AY33" i="20" s="1"/>
  <c r="AX40" i="20"/>
  <c r="AZ27" i="10"/>
  <c r="AZ29" i="10" s="1"/>
  <c r="AX23" i="34"/>
  <c r="AY10" i="34"/>
  <c r="W10" i="35"/>
  <c r="AX17" i="28"/>
  <c r="AX19" i="28" s="1"/>
  <c r="AX22" i="34"/>
  <c r="AX18" i="28"/>
  <c r="AY12" i="37"/>
  <c r="AZ47" i="12"/>
  <c r="AY12" i="13"/>
  <c r="AY13" i="13" s="1"/>
  <c r="W12" i="38"/>
  <c r="P12" i="39"/>
  <c r="AN12" i="9"/>
  <c r="AN13" i="9" s="1"/>
  <c r="AX48" i="18"/>
  <c r="AX34" i="18"/>
  <c r="AX35" i="18" s="1"/>
  <c r="AX13" i="18" s="1"/>
  <c r="AX15" i="18" s="1"/>
  <c r="BE13" i="37"/>
  <c r="BE20" i="18"/>
  <c r="BE22" i="18" s="1"/>
  <c r="BE49" i="12"/>
  <c r="BE61" i="12"/>
  <c r="Y13" i="38"/>
  <c r="AM23" i="31"/>
  <c r="AM15" i="22"/>
  <c r="AM17" i="22" s="1"/>
  <c r="AM21" i="22" s="1"/>
  <c r="S23" i="32"/>
  <c r="N23" i="33"/>
  <c r="AY48" i="19"/>
  <c r="AY29" i="15"/>
  <c r="AY10" i="12"/>
  <c r="AY11" i="12" s="1"/>
  <c r="AY10" i="31"/>
  <c r="AZ41" i="15"/>
  <c r="W10" i="32"/>
  <c r="P10" i="33"/>
  <c r="AY8" i="31"/>
  <c r="AZ20" i="13"/>
  <c r="P8" i="33"/>
  <c r="W8" i="32"/>
  <c r="AX41" i="20"/>
  <c r="AX46" i="20" s="1"/>
  <c r="AX47" i="20" s="1"/>
  <c r="AX47" i="16"/>
  <c r="AX33" i="16"/>
  <c r="AX34" i="16" s="1"/>
  <c r="AX13" i="16" s="1"/>
  <c r="AX15" i="16" s="1"/>
  <c r="AO15" i="34"/>
  <c r="AY32" i="15"/>
  <c r="AY15" i="15"/>
  <c r="AY8" i="28"/>
  <c r="AY11" i="28" s="1"/>
  <c r="AY19" i="16"/>
  <c r="AY21" i="16" s="1"/>
  <c r="AY26" i="11"/>
  <c r="AY27" i="11" s="1"/>
  <c r="W8" i="29"/>
  <c r="AW25" i="31"/>
  <c r="AX36" i="9"/>
  <c r="AW28" i="9"/>
  <c r="AW30" i="9" s="1"/>
  <c r="AX18" i="31" l="1"/>
  <c r="AY11" i="18"/>
  <c r="AX17" i="31"/>
  <c r="AY11" i="16"/>
  <c r="AZ53" i="12"/>
  <c r="AZ54" i="12" s="1"/>
  <c r="AZ11" i="11"/>
  <c r="AZ12" i="11" s="1"/>
  <c r="AZ23" i="10"/>
  <c r="AZ24" i="10" s="1"/>
  <c r="BE29" i="17"/>
  <c r="BE14" i="17"/>
  <c r="AY29" i="13"/>
  <c r="AY31" i="13" s="1"/>
  <c r="AY14" i="13"/>
  <c r="AX82" i="20"/>
  <c r="AY19" i="34"/>
  <c r="AY26" i="16"/>
  <c r="BA27" i="16" s="1"/>
  <c r="AY12" i="16"/>
  <c r="W19" i="35"/>
  <c r="AX25" i="34"/>
  <c r="AZ25" i="12"/>
  <c r="AY26" i="20"/>
  <c r="AX24" i="34"/>
  <c r="AX48" i="20"/>
  <c r="AX81" i="20"/>
  <c r="AX76" i="20"/>
  <c r="AY14" i="34"/>
  <c r="W14" i="35"/>
  <c r="AY9" i="19"/>
  <c r="AY11" i="19" s="1"/>
  <c r="AY22" i="19" s="1"/>
  <c r="AY23" i="19" s="1"/>
  <c r="AY30" i="15"/>
  <c r="AP77" i="20"/>
  <c r="AP78" i="20" s="1"/>
  <c r="AP69" i="20"/>
  <c r="AO26" i="34"/>
  <c r="AY9" i="20"/>
  <c r="AY10" i="20" s="1"/>
  <c r="W11" i="29"/>
  <c r="AW27" i="31"/>
  <c r="AW16" i="22"/>
  <c r="AY36" i="15"/>
  <c r="AY14" i="31"/>
  <c r="AZ24" i="11"/>
  <c r="P14" i="33"/>
  <c r="W14" i="32"/>
  <c r="AN11" i="31"/>
  <c r="AN12" i="31" s="1"/>
  <c r="AN22" i="9" s="1"/>
  <c r="AN24" i="9" s="1"/>
  <c r="AN9" i="8"/>
  <c r="AO11" i="9"/>
  <c r="AY40" i="17"/>
  <c r="AY41" i="17" s="1"/>
  <c r="AZ11" i="13"/>
  <c r="BE21" i="34"/>
  <c r="BE12" i="18"/>
  <c r="Y21" i="35"/>
  <c r="AY30" i="19" l="1"/>
  <c r="AY32" i="19" s="1"/>
  <c r="AY49" i="19"/>
  <c r="AY51" i="19" s="1"/>
  <c r="AY36" i="19" s="1"/>
  <c r="AZ37" i="19" s="1"/>
  <c r="BA14" i="16"/>
  <c r="BA28" i="16"/>
  <c r="BE18" i="34"/>
  <c r="Y18" i="35"/>
  <c r="AZ10" i="37"/>
  <c r="AZ24" i="12"/>
  <c r="AZ26" i="12" s="1"/>
  <c r="AZ31" i="12" s="1"/>
  <c r="AZ33" i="12" s="1"/>
  <c r="BA20" i="10"/>
  <c r="AZ16" i="19"/>
  <c r="AZ17" i="19" s="1"/>
  <c r="AZ42" i="15"/>
  <c r="AZ20" i="15"/>
  <c r="AZ25" i="11"/>
  <c r="AY15" i="31"/>
  <c r="AZ28" i="15"/>
  <c r="W15" i="32"/>
  <c r="P15" i="33"/>
  <c r="AO29" i="34"/>
  <c r="AZ16" i="37"/>
  <c r="AZ63" i="12"/>
  <c r="AZ65" i="12" s="1"/>
  <c r="AZ71" i="12"/>
  <c r="AZ73" i="12" s="1"/>
  <c r="AY39" i="16"/>
  <c r="AY40" i="16" s="1"/>
  <c r="AN23" i="31"/>
  <c r="AN15" i="22"/>
  <c r="AN17" i="22" s="1"/>
  <c r="AN21" i="22" s="1"/>
  <c r="AP11" i="34"/>
  <c r="AP12" i="34" s="1"/>
  <c r="T11" i="35"/>
  <c r="AP20" i="31"/>
  <c r="AP21" i="31" s="1"/>
  <c r="AQ75" i="20"/>
  <c r="T20" i="32"/>
  <c r="AX21" i="28"/>
  <c r="AX22" i="28" s="1"/>
  <c r="AY13" i="28"/>
  <c r="AY14" i="28" s="1"/>
  <c r="W13" i="29"/>
  <c r="AY46" i="17"/>
  <c r="AY47" i="17" s="1"/>
  <c r="AY33" i="17"/>
  <c r="AY42" i="17"/>
  <c r="AY32" i="13"/>
  <c r="AZ28" i="13"/>
  <c r="AY27" i="18"/>
  <c r="AY28" i="18" s="1"/>
  <c r="AY40" i="18"/>
  <c r="AY41" i="18" s="1"/>
  <c r="AY20" i="20"/>
  <c r="AY21" i="20" s="1"/>
  <c r="AY34" i="20" s="1"/>
  <c r="AY14" i="20"/>
  <c r="AY15" i="20" s="1"/>
  <c r="AZ15" i="37" l="1"/>
  <c r="BA60" i="12"/>
  <c r="AY9" i="31"/>
  <c r="P9" i="33"/>
  <c r="W9" i="32"/>
  <c r="AY25" i="20"/>
  <c r="AY27" i="20" s="1"/>
  <c r="AY39" i="20"/>
  <c r="AY16" i="28"/>
  <c r="W16" i="29"/>
  <c r="AQ66" i="20"/>
  <c r="AQ68" i="20" s="1"/>
  <c r="BA20" i="34"/>
  <c r="AX37" i="9"/>
  <c r="AX38" i="9" s="1"/>
  <c r="AP23" i="9"/>
  <c r="T21" i="32"/>
  <c r="AY41" i="16"/>
  <c r="AY45" i="16"/>
  <c r="AY46" i="16" s="1"/>
  <c r="AY32" i="16"/>
  <c r="AO12" i="9"/>
  <c r="AO13" i="9" s="1"/>
  <c r="AZ21" i="19"/>
  <c r="AZ43" i="15"/>
  <c r="AZ45" i="15" s="1"/>
  <c r="AZ21" i="15"/>
  <c r="BB22" i="15" s="1"/>
  <c r="AY34" i="17"/>
  <c r="AY35" i="17" s="1"/>
  <c r="AY13" i="17" s="1"/>
  <c r="AY15" i="17" s="1"/>
  <c r="AY48" i="17"/>
  <c r="BA28" i="10"/>
  <c r="AZ38" i="19"/>
  <c r="AZ31" i="19"/>
  <c r="AY42" i="18"/>
  <c r="AY33" i="18"/>
  <c r="AY46" i="18"/>
  <c r="AY47" i="18" s="1"/>
  <c r="AZ11" i="37"/>
  <c r="AZ20" i="17"/>
  <c r="AZ22" i="17" s="1"/>
  <c r="AZ13" i="15"/>
  <c r="AZ14" i="15" s="1"/>
  <c r="AZ21" i="13"/>
  <c r="AZ23" i="13" s="1"/>
  <c r="AZ48" i="12"/>
  <c r="AZ50" i="12" s="1"/>
  <c r="AZ39" i="12"/>
  <c r="BF41" i="12" s="1"/>
  <c r="AZ17" i="9"/>
  <c r="AZ18" i="9" s="1"/>
  <c r="AY19" i="31"/>
  <c r="AZ29" i="19"/>
  <c r="P19" i="33"/>
  <c r="W19" i="32"/>
  <c r="AY14" i="18"/>
  <c r="AY29" i="18"/>
  <c r="W14" i="29"/>
  <c r="AP15" i="34"/>
  <c r="T12" i="35"/>
  <c r="AZ17" i="37"/>
  <c r="BA70" i="12"/>
  <c r="AZ17" i="11"/>
  <c r="AZ18" i="11" s="1"/>
  <c r="BB8" i="34" l="1"/>
  <c r="BB44" i="15"/>
  <c r="X8" i="35"/>
  <c r="AY16" i="31"/>
  <c r="AZ11" i="17"/>
  <c r="P16" i="33"/>
  <c r="W16" i="32"/>
  <c r="AZ29" i="15"/>
  <c r="AZ10" i="12"/>
  <c r="AZ11" i="12" s="1"/>
  <c r="AY47" i="16"/>
  <c r="AY33" i="16"/>
  <c r="AY18" i="28"/>
  <c r="W18" i="29"/>
  <c r="AY17" i="28"/>
  <c r="AY19" i="28" s="1"/>
  <c r="W17" i="29"/>
  <c r="AZ10" i="31"/>
  <c r="BA41" i="15"/>
  <c r="AZ12" i="37"/>
  <c r="AZ12" i="13"/>
  <c r="AZ13" i="13" s="1"/>
  <c r="BA47" i="12"/>
  <c r="AP26" i="34"/>
  <c r="T15" i="35"/>
  <c r="AZ8" i="31"/>
  <c r="BA20" i="13"/>
  <c r="AZ10" i="34"/>
  <c r="AQ69" i="20"/>
  <c r="AQ77" i="20"/>
  <c r="AQ78" i="20" s="1"/>
  <c r="BF13" i="37"/>
  <c r="BF20" i="18"/>
  <c r="BF22" i="18" s="1"/>
  <c r="BF61" i="12"/>
  <c r="BF49" i="12"/>
  <c r="AZ15" i="15"/>
  <c r="AZ32" i="15"/>
  <c r="BA27" i="10"/>
  <c r="BA29" i="10" s="1"/>
  <c r="AZ48" i="19"/>
  <c r="AX25" i="31"/>
  <c r="AX28" i="9"/>
  <c r="AX30" i="9" s="1"/>
  <c r="AY36" i="9"/>
  <c r="AZ17" i="34"/>
  <c r="AZ27" i="17"/>
  <c r="BF28" i="17" s="1"/>
  <c r="AZ12" i="17"/>
  <c r="AZ8" i="28"/>
  <c r="AZ11" i="28" s="1"/>
  <c r="AZ19" i="16"/>
  <c r="AZ21" i="16" s="1"/>
  <c r="AZ26" i="11"/>
  <c r="AZ27" i="11" s="1"/>
  <c r="AY22" i="34"/>
  <c r="W22" i="35"/>
  <c r="AY23" i="34"/>
  <c r="W23" i="35"/>
  <c r="AO11" i="31"/>
  <c r="AO12" i="31" s="1"/>
  <c r="AO22" i="9" s="1"/>
  <c r="AO24" i="9" s="1"/>
  <c r="AO9" i="8"/>
  <c r="AP11" i="9"/>
  <c r="AY48" i="18"/>
  <c r="AY34" i="18"/>
  <c r="AY35" i="18" s="1"/>
  <c r="AY13" i="18" s="1"/>
  <c r="AY15" i="18" s="1"/>
  <c r="AY34" i="16"/>
  <c r="AY13" i="16" s="1"/>
  <c r="AY15" i="16" s="1"/>
  <c r="AY40" i="20"/>
  <c r="AY41" i="20" s="1"/>
  <c r="AY46" i="20" s="1"/>
  <c r="AY47" i="20" s="1"/>
  <c r="AY35" i="20"/>
  <c r="AY36" i="20" s="1"/>
  <c r="AZ33" i="20" s="1"/>
  <c r="AY76" i="20" l="1"/>
  <c r="AY81" i="20"/>
  <c r="AY48" i="20"/>
  <c r="AY18" i="31"/>
  <c r="AZ11" i="18"/>
  <c r="W18" i="32"/>
  <c r="P18" i="33"/>
  <c r="AQ11" i="34"/>
  <c r="AQ12" i="34" s="1"/>
  <c r="AY82" i="20"/>
  <c r="W19" i="29"/>
  <c r="AY25" i="34"/>
  <c r="W25" i="35"/>
  <c r="BA25" i="12"/>
  <c r="AZ40" i="17"/>
  <c r="AZ41" i="17" s="1"/>
  <c r="AZ29" i="13"/>
  <c r="AZ31" i="13" s="1"/>
  <c r="AZ14" i="13"/>
  <c r="AZ9" i="20"/>
  <c r="AZ10" i="20" s="1"/>
  <c r="BF14" i="17"/>
  <c r="BF29" i="17"/>
  <c r="BF21" i="34"/>
  <c r="BF12" i="18"/>
  <c r="AY24" i="34"/>
  <c r="W24" i="35"/>
  <c r="AP29" i="34"/>
  <c r="T26" i="35"/>
  <c r="BA53" i="12"/>
  <c r="BA54" i="12" s="1"/>
  <c r="BA11" i="11"/>
  <c r="BA12" i="11" s="1"/>
  <c r="BA23" i="10"/>
  <c r="BA24" i="10" s="1"/>
  <c r="BA11" i="13"/>
  <c r="AY17" i="31"/>
  <c r="AZ11" i="16"/>
  <c r="P17" i="33"/>
  <c r="W17" i="32"/>
  <c r="AZ26" i="20"/>
  <c r="AZ14" i="31"/>
  <c r="BA24" i="11"/>
  <c r="AZ14" i="34"/>
  <c r="AZ9" i="19"/>
  <c r="AZ11" i="19" s="1"/>
  <c r="AZ22" i="19" s="1"/>
  <c r="AZ23" i="19" s="1"/>
  <c r="AZ30" i="15"/>
  <c r="AZ36" i="15" s="1"/>
  <c r="AO23" i="31"/>
  <c r="AO15" i="22"/>
  <c r="AO17" i="22" s="1"/>
  <c r="AO21" i="22" s="1"/>
  <c r="AZ19" i="34"/>
  <c r="AZ12" i="16"/>
  <c r="AZ26" i="16"/>
  <c r="BB27" i="16" s="1"/>
  <c r="AX27" i="31"/>
  <c r="AX16" i="22"/>
  <c r="AQ20" i="31"/>
  <c r="AQ21" i="31" s="1"/>
  <c r="AQ23" i="9" s="1"/>
  <c r="AR75" i="20"/>
  <c r="AZ15" i="31" l="1"/>
  <c r="BA28" i="15"/>
  <c r="AQ15" i="34"/>
  <c r="AP12" i="9"/>
  <c r="AP13" i="9" s="1"/>
  <c r="T29" i="35"/>
  <c r="AZ13" i="28"/>
  <c r="AZ14" i="28" s="1"/>
  <c r="BF18" i="34"/>
  <c r="BA28" i="13"/>
  <c r="AZ32" i="13"/>
  <c r="AZ9" i="31" s="1"/>
  <c r="AZ27" i="18"/>
  <c r="AZ28" i="18" s="1"/>
  <c r="AZ40" i="18"/>
  <c r="AZ41" i="18" s="1"/>
  <c r="AZ49" i="19"/>
  <c r="AZ51" i="19" s="1"/>
  <c r="AZ36" i="19" s="1"/>
  <c r="BA37" i="19" s="1"/>
  <c r="AZ30" i="19"/>
  <c r="AZ32" i="19" s="1"/>
  <c r="BA10" i="37"/>
  <c r="BB20" i="10"/>
  <c r="BA24" i="12"/>
  <c r="BA26" i="12" s="1"/>
  <c r="BA31" i="12" s="1"/>
  <c r="BA33" i="12" s="1"/>
  <c r="AZ46" i="17"/>
  <c r="AZ47" i="17" s="1"/>
  <c r="AZ33" i="17"/>
  <c r="AZ42" i="17"/>
  <c r="AY21" i="28"/>
  <c r="AY22" i="28" s="1"/>
  <c r="W21" i="29"/>
  <c r="BB14" i="16"/>
  <c r="BB28" i="16"/>
  <c r="BA16" i="19"/>
  <c r="BA17" i="19" s="1"/>
  <c r="BA20" i="15"/>
  <c r="BA42" i="15"/>
  <c r="BA25" i="11"/>
  <c r="AR66" i="20"/>
  <c r="AR68" i="20" s="1"/>
  <c r="AZ39" i="16"/>
  <c r="AZ40" i="16" s="1"/>
  <c r="BA16" i="37"/>
  <c r="BA71" i="12"/>
  <c r="BA73" i="12" s="1"/>
  <c r="BA63" i="12"/>
  <c r="BA65" i="12" s="1"/>
  <c r="AZ14" i="20"/>
  <c r="AZ15" i="20" s="1"/>
  <c r="AZ20" i="20"/>
  <c r="AZ21" i="20" s="1"/>
  <c r="AZ34" i="20" s="1"/>
  <c r="AR77" i="20" l="1"/>
  <c r="AR78" i="20" s="1"/>
  <c r="AR69" i="20"/>
  <c r="AP11" i="31"/>
  <c r="AP12" i="31" s="1"/>
  <c r="AP9" i="8"/>
  <c r="AQ11" i="9"/>
  <c r="T11" i="32"/>
  <c r="BC22" i="15"/>
  <c r="AY37" i="9"/>
  <c r="AY38" i="9" s="1"/>
  <c r="W22" i="29"/>
  <c r="AZ19" i="31"/>
  <c r="BA29" i="19"/>
  <c r="BA15" i="37"/>
  <c r="BB60" i="12"/>
  <c r="BA17" i="37"/>
  <c r="BB70" i="12"/>
  <c r="BA17" i="11"/>
  <c r="BA18" i="11" s="1"/>
  <c r="BB20" i="34"/>
  <c r="X20" i="35"/>
  <c r="AQ26" i="34"/>
  <c r="BA38" i="19"/>
  <c r="BA31" i="19"/>
  <c r="BA21" i="19"/>
  <c r="BA21" i="15"/>
  <c r="BA43" i="15"/>
  <c r="BA45" i="15" s="1"/>
  <c r="AZ34" i="17"/>
  <c r="AZ35" i="17" s="1"/>
  <c r="AZ13" i="17" s="1"/>
  <c r="AZ15" i="17" s="1"/>
  <c r="AZ48" i="17"/>
  <c r="AZ46" i="18"/>
  <c r="AZ47" i="18" s="1"/>
  <c r="AZ42" i="18"/>
  <c r="AZ33" i="18"/>
  <c r="AZ14" i="18"/>
  <c r="AZ29" i="18"/>
  <c r="AZ45" i="16"/>
  <c r="AZ46" i="16" s="1"/>
  <c r="AZ41" i="16"/>
  <c r="AZ32" i="16"/>
  <c r="BB28" i="10"/>
  <c r="AZ16" i="28"/>
  <c r="BA11" i="37"/>
  <c r="BA20" i="17"/>
  <c r="BA22" i="17" s="1"/>
  <c r="BA13" i="15"/>
  <c r="BA14" i="15" s="1"/>
  <c r="BA39" i="12"/>
  <c r="BG41" i="12" s="1"/>
  <c r="BA21" i="13"/>
  <c r="BA23" i="13" s="1"/>
  <c r="BA48" i="12"/>
  <c r="BA50" i="12" s="1"/>
  <c r="BA17" i="9"/>
  <c r="BA18" i="9" s="1"/>
  <c r="AZ39" i="20"/>
  <c r="AZ25" i="20"/>
  <c r="AZ27" i="20" s="1"/>
  <c r="AZ16" i="31" l="1"/>
  <c r="BA11" i="17"/>
  <c r="AZ18" i="28"/>
  <c r="BA10" i="34"/>
  <c r="BC8" i="34"/>
  <c r="BC44" i="15"/>
  <c r="BA10" i="31"/>
  <c r="BB41" i="15"/>
  <c r="AZ23" i="34"/>
  <c r="BB27" i="10"/>
  <c r="BB29" i="10" s="1"/>
  <c r="BA8" i="31"/>
  <c r="BB20" i="13"/>
  <c r="AZ48" i="18"/>
  <c r="AZ34" i="18"/>
  <c r="AZ35" i="18" s="1"/>
  <c r="AZ13" i="18" s="1"/>
  <c r="AZ15" i="18" s="1"/>
  <c r="BA12" i="37"/>
  <c r="BA12" i="13"/>
  <c r="BA13" i="13" s="1"/>
  <c r="BB47" i="12"/>
  <c r="AZ35" i="20"/>
  <c r="AZ36" i="20" s="1"/>
  <c r="BA33" i="20" s="1"/>
  <c r="AZ40" i="20"/>
  <c r="AZ41" i="20" s="1"/>
  <c r="AZ46" i="20" s="1"/>
  <c r="AZ47" i="20" s="1"/>
  <c r="BA17" i="34"/>
  <c r="BA27" i="17"/>
  <c r="BG28" i="17" s="1"/>
  <c r="BA12" i="17"/>
  <c r="AZ47" i="16"/>
  <c r="AZ33" i="16"/>
  <c r="AZ34" i="16" s="1"/>
  <c r="AZ13" i="16" s="1"/>
  <c r="AZ15" i="16" s="1"/>
  <c r="BA48" i="19"/>
  <c r="AP22" i="9"/>
  <c r="AP24" i="9" s="1"/>
  <c r="T12" i="32"/>
  <c r="BA32" i="15"/>
  <c r="BA15" i="15"/>
  <c r="AZ17" i="28"/>
  <c r="AZ19" i="28" s="1"/>
  <c r="AZ22" i="34"/>
  <c r="AR11" i="34"/>
  <c r="AR12" i="34" s="1"/>
  <c r="BG13" i="37"/>
  <c r="BG20" i="18"/>
  <c r="BG22" i="18" s="1"/>
  <c r="BG61" i="12"/>
  <c r="BG49" i="12"/>
  <c r="AQ29" i="34"/>
  <c r="AR20" i="31"/>
  <c r="AR21" i="31" s="1"/>
  <c r="AR23" i="9" s="1"/>
  <c r="AS75" i="20"/>
  <c r="BA29" i="15"/>
  <c r="BA10" i="12"/>
  <c r="BA11" i="12" s="1"/>
  <c r="BA8" i="28"/>
  <c r="BA11" i="28" s="1"/>
  <c r="BA19" i="16"/>
  <c r="BA21" i="16" s="1"/>
  <c r="BA26" i="11"/>
  <c r="BA27" i="11" s="1"/>
  <c r="AY25" i="31"/>
  <c r="AY28" i="9"/>
  <c r="AY30" i="9" s="1"/>
  <c r="AZ36" i="9"/>
  <c r="W25" i="32"/>
  <c r="P25" i="33"/>
  <c r="AZ82" i="20" l="1"/>
  <c r="AZ17" i="31"/>
  <c r="BA11" i="16"/>
  <c r="AZ81" i="20"/>
  <c r="AZ76" i="20"/>
  <c r="AZ48" i="20"/>
  <c r="BG21" i="34"/>
  <c r="BG12" i="18"/>
  <c r="BB11" i="13"/>
  <c r="AZ24" i="34"/>
  <c r="BA26" i="20"/>
  <c r="BA14" i="34"/>
  <c r="BA9" i="20"/>
  <c r="BA10" i="20" s="1"/>
  <c r="BA29" i="13"/>
  <c r="BA31" i="13" s="1"/>
  <c r="BA14" i="13"/>
  <c r="BB53" i="12"/>
  <c r="BB54" i="12" s="1"/>
  <c r="BB11" i="11"/>
  <c r="BB12" i="11" s="1"/>
  <c r="BB23" i="10"/>
  <c r="BB24" i="10" s="1"/>
  <c r="BA19" i="34"/>
  <c r="BA26" i="16"/>
  <c r="BC27" i="16" s="1"/>
  <c r="BA12" i="16"/>
  <c r="AZ18" i="31"/>
  <c r="BA11" i="18"/>
  <c r="AQ12" i="9"/>
  <c r="AQ13" i="9" s="1"/>
  <c r="AY27" i="31"/>
  <c r="AY16" i="22"/>
  <c r="W27" i="32"/>
  <c r="P27" i="33"/>
  <c r="AP23" i="31"/>
  <c r="AP15" i="22"/>
  <c r="AP17" i="22" s="1"/>
  <c r="AP21" i="22" s="1"/>
  <c r="T23" i="32"/>
  <c r="BG14" i="17"/>
  <c r="BG29" i="17"/>
  <c r="BA40" i="17"/>
  <c r="BA41" i="17" s="1"/>
  <c r="AS66" i="20"/>
  <c r="AS68" i="20" s="1"/>
  <c r="BB25" i="12"/>
  <c r="BA9" i="19"/>
  <c r="BA11" i="19" s="1"/>
  <c r="BA22" i="19" s="1"/>
  <c r="BA23" i="19" s="1"/>
  <c r="BA30" i="15"/>
  <c r="BA36" i="15" s="1"/>
  <c r="AR15" i="34"/>
  <c r="BA14" i="31"/>
  <c r="BB24" i="11"/>
  <c r="AZ25" i="34"/>
  <c r="BA15" i="31" l="1"/>
  <c r="BB28" i="15"/>
  <c r="BC28" i="16"/>
  <c r="BC14" i="16"/>
  <c r="AQ11" i="31"/>
  <c r="AQ12" i="31" s="1"/>
  <c r="AQ22" i="9" s="1"/>
  <c r="AQ24" i="9" s="1"/>
  <c r="AR11" i="9"/>
  <c r="AQ9" i="8"/>
  <c r="BB10" i="37"/>
  <c r="BC20" i="10"/>
  <c r="BB24" i="12"/>
  <c r="BB26" i="12" s="1"/>
  <c r="BB31" i="12" s="1"/>
  <c r="BB33" i="12" s="1"/>
  <c r="X10" i="38"/>
  <c r="BA14" i="20"/>
  <c r="BA15" i="20" s="1"/>
  <c r="BA20" i="20"/>
  <c r="BA21" i="20" s="1"/>
  <c r="BA34" i="20" s="1"/>
  <c r="BA39" i="16"/>
  <c r="BA40" i="16" s="1"/>
  <c r="AS77" i="20"/>
  <c r="AS78" i="20" s="1"/>
  <c r="AS69" i="20"/>
  <c r="BA27" i="18"/>
  <c r="BA28" i="18" s="1"/>
  <c r="BA40" i="18"/>
  <c r="BA41" i="18" s="1"/>
  <c r="BB16" i="19"/>
  <c r="BB17" i="19" s="1"/>
  <c r="BB20" i="15"/>
  <c r="BB42" i="15"/>
  <c r="BB25" i="11"/>
  <c r="BB16" i="37"/>
  <c r="BB63" i="12"/>
  <c r="BB65" i="12" s="1"/>
  <c r="BB71" i="12"/>
  <c r="BB73" i="12" s="1"/>
  <c r="X16" i="38"/>
  <c r="AR26" i="34"/>
  <c r="BA46" i="17"/>
  <c r="BA47" i="17" s="1"/>
  <c r="BA33" i="17"/>
  <c r="BA42" i="17"/>
  <c r="BA49" i="19"/>
  <c r="BA51" i="19" s="1"/>
  <c r="BA36" i="19" s="1"/>
  <c r="BB37" i="19" s="1"/>
  <c r="BA30" i="19"/>
  <c r="BA32" i="19" s="1"/>
  <c r="BA13" i="28"/>
  <c r="BA14" i="28" s="1"/>
  <c r="BG18" i="34"/>
  <c r="BB28" i="13"/>
  <c r="BA32" i="13"/>
  <c r="BA9" i="31" s="1"/>
  <c r="AZ21" i="28"/>
  <c r="AZ22" i="28" s="1"/>
  <c r="BA19" i="31" l="1"/>
  <c r="BB29" i="19"/>
  <c r="BA45" i="16"/>
  <c r="BA46" i="16" s="1"/>
  <c r="BA41" i="16"/>
  <c r="BA32" i="16"/>
  <c r="BB21" i="19"/>
  <c r="BB43" i="15"/>
  <c r="BB45" i="15" s="1"/>
  <c r="BB21" i="15"/>
  <c r="BD22" i="15" s="1"/>
  <c r="AQ23" i="31"/>
  <c r="AQ15" i="22"/>
  <c r="AQ17" i="22" s="1"/>
  <c r="AQ21" i="22" s="1"/>
  <c r="BA16" i="28"/>
  <c r="BB15" i="37"/>
  <c r="BC60" i="12"/>
  <c r="X15" i="38"/>
  <c r="BA25" i="20"/>
  <c r="BA27" i="20" s="1"/>
  <c r="BA39" i="20"/>
  <c r="BA33" i="18"/>
  <c r="BA42" i="18"/>
  <c r="BA46" i="18"/>
  <c r="BA47" i="18" s="1"/>
  <c r="BA34" i="17"/>
  <c r="BA48" i="17"/>
  <c r="BA14" i="18"/>
  <c r="BA29" i="18"/>
  <c r="BB11" i="37"/>
  <c r="BB20" i="17"/>
  <c r="BB22" i="17" s="1"/>
  <c r="BB13" i="15"/>
  <c r="BB14" i="15" s="1"/>
  <c r="BB21" i="13"/>
  <c r="BB23" i="13" s="1"/>
  <c r="BB48" i="12"/>
  <c r="BB50" i="12" s="1"/>
  <c r="BB39" i="12"/>
  <c r="BH41" i="12" s="1"/>
  <c r="BB17" i="9"/>
  <c r="BB18" i="9" s="1"/>
  <c r="X11" i="38"/>
  <c r="BC20" i="34"/>
  <c r="BB31" i="19"/>
  <c r="BB38" i="19"/>
  <c r="BB17" i="37"/>
  <c r="BC70" i="12"/>
  <c r="BB17" i="11"/>
  <c r="BB18" i="11" s="1"/>
  <c r="X17" i="38"/>
  <c r="BA35" i="17"/>
  <c r="BA13" i="17" s="1"/>
  <c r="BA15" i="17" s="1"/>
  <c r="AS11" i="34"/>
  <c r="AS12" i="34" s="1"/>
  <c r="U11" i="35"/>
  <c r="BC28" i="10"/>
  <c r="AZ37" i="9"/>
  <c r="AZ38" i="9" s="1"/>
  <c r="AR29" i="34"/>
  <c r="AS20" i="31"/>
  <c r="AS21" i="31" s="1"/>
  <c r="AT75" i="20"/>
  <c r="L20" i="24"/>
  <c r="U20" i="32"/>
  <c r="O20" i="33"/>
  <c r="BD8" i="34" l="1"/>
  <c r="BD44" i="15"/>
  <c r="BB10" i="31"/>
  <c r="BC41" i="15"/>
  <c r="X10" i="32"/>
  <c r="BB10" i="34"/>
  <c r="X10" i="35"/>
  <c r="BB29" i="15"/>
  <c r="BB10" i="12"/>
  <c r="BB11" i="12" s="1"/>
  <c r="AR12" i="9"/>
  <c r="AR13" i="9" s="1"/>
  <c r="BH13" i="37"/>
  <c r="BH20" i="18"/>
  <c r="BH22" i="18" s="1"/>
  <c r="BH61" i="12"/>
  <c r="BH49" i="12"/>
  <c r="Z13" i="38"/>
  <c r="BA23" i="34"/>
  <c r="BA17" i="28"/>
  <c r="BA22" i="34"/>
  <c r="AS15" i="34"/>
  <c r="U12" i="35"/>
  <c r="BB12" i="37"/>
  <c r="BB12" i="13"/>
  <c r="BB13" i="13" s="1"/>
  <c r="BC47" i="12"/>
  <c r="X12" i="38"/>
  <c r="BA40" i="20"/>
  <c r="BA41" i="20" s="1"/>
  <c r="BA46" i="20" s="1"/>
  <c r="BA47" i="20" s="1"/>
  <c r="BA35" i="20"/>
  <c r="BA36" i="20" s="1"/>
  <c r="BB33" i="20" s="1"/>
  <c r="BA47" i="16"/>
  <c r="BA33" i="16"/>
  <c r="BA34" i="16" s="1"/>
  <c r="BA13" i="16" s="1"/>
  <c r="BA15" i="16" s="1"/>
  <c r="BB8" i="31"/>
  <c r="BC20" i="13"/>
  <c r="X8" i="32"/>
  <c r="BA48" i="18"/>
  <c r="BA34" i="18"/>
  <c r="BA35" i="18" s="1"/>
  <c r="BA13" i="18" s="1"/>
  <c r="BA15" i="18" s="1"/>
  <c r="BB48" i="19"/>
  <c r="AS23" i="9"/>
  <c r="L21" i="24"/>
  <c r="O21" i="33"/>
  <c r="U21" i="32"/>
  <c r="AZ25" i="31"/>
  <c r="BA36" i="9"/>
  <c r="AZ28" i="9"/>
  <c r="AZ30" i="9" s="1"/>
  <c r="BB32" i="15"/>
  <c r="BB15" i="15"/>
  <c r="BA18" i="28"/>
  <c r="BC27" i="10"/>
  <c r="BC29" i="10" s="1"/>
  <c r="BB8" i="28"/>
  <c r="BB11" i="28" s="1"/>
  <c r="BB19" i="16"/>
  <c r="BB21" i="16" s="1"/>
  <c r="BB26" i="11"/>
  <c r="BB27" i="11" s="1"/>
  <c r="X8" i="29"/>
  <c r="BB17" i="34"/>
  <c r="BB12" i="17"/>
  <c r="BB27" i="17"/>
  <c r="BH28" i="17" s="1"/>
  <c r="X17" i="35"/>
  <c r="BA16" i="31"/>
  <c r="BB11" i="17"/>
  <c r="AT66" i="20"/>
  <c r="AT68" i="20" s="1"/>
  <c r="BA17" i="31" l="1"/>
  <c r="BB11" i="16"/>
  <c r="BA18" i="31"/>
  <c r="BB11" i="18"/>
  <c r="BA76" i="20"/>
  <c r="BA48" i="20"/>
  <c r="BA81" i="20"/>
  <c r="BB19" i="34"/>
  <c r="BB26" i="16"/>
  <c r="BD27" i="16" s="1"/>
  <c r="BB12" i="16"/>
  <c r="X19" i="35"/>
  <c r="BA24" i="34"/>
  <c r="AS26" i="34"/>
  <c r="U15" i="35"/>
  <c r="BH21" i="34"/>
  <c r="BH12" i="18"/>
  <c r="Z21" i="35"/>
  <c r="BB26" i="20"/>
  <c r="BH29" i="17"/>
  <c r="BH14" i="17"/>
  <c r="BC53" i="12"/>
  <c r="BC54" i="12" s="1"/>
  <c r="BC11" i="11"/>
  <c r="BC12" i="11" s="1"/>
  <c r="BC23" i="10"/>
  <c r="BC24" i="10" s="1"/>
  <c r="BA25" i="34"/>
  <c r="AR11" i="31"/>
  <c r="AR12" i="31" s="1"/>
  <c r="AR22" i="9" s="1"/>
  <c r="AR24" i="9" s="1"/>
  <c r="AR9" i="8"/>
  <c r="AS11" i="9"/>
  <c r="BC25" i="12"/>
  <c r="AT77" i="20"/>
  <c r="AT78" i="20" s="1"/>
  <c r="AT69" i="20"/>
  <c r="BB9" i="19"/>
  <c r="BB11" i="19" s="1"/>
  <c r="BB22" i="19" s="1"/>
  <c r="BB23" i="19" s="1"/>
  <c r="BB30" i="15"/>
  <c r="BB36" i="15" s="1"/>
  <c r="AZ27" i="31"/>
  <c r="AZ16" i="22"/>
  <c r="BB40" i="17"/>
  <c r="BB41" i="17" s="1"/>
  <c r="BA19" i="28"/>
  <c r="BB9" i="20"/>
  <c r="BB10" i="20" s="1"/>
  <c r="X11" i="29"/>
  <c r="BC11" i="13"/>
  <c r="BB29" i="13"/>
  <c r="BB31" i="13" s="1"/>
  <c r="BB14" i="13"/>
  <c r="BB14" i="31"/>
  <c r="BC24" i="11"/>
  <c r="X14" i="32"/>
  <c r="BB14" i="34"/>
  <c r="X14" i="35"/>
  <c r="BB15" i="31" l="1"/>
  <c r="BC28" i="15"/>
  <c r="X15" i="32"/>
  <c r="BB46" i="17"/>
  <c r="BB47" i="17" s="1"/>
  <c r="BB33" i="17"/>
  <c r="BB42" i="17"/>
  <c r="AS29" i="34"/>
  <c r="U26" i="35"/>
  <c r="BA21" i="28"/>
  <c r="BC16" i="19"/>
  <c r="BC17" i="19" s="1"/>
  <c r="BC42" i="15"/>
  <c r="BC20" i="15"/>
  <c r="BC25" i="11"/>
  <c r="BC10" i="37"/>
  <c r="BC24" i="12"/>
  <c r="BC26" i="12" s="1"/>
  <c r="BC31" i="12" s="1"/>
  <c r="BC33" i="12" s="1"/>
  <c r="BD20" i="10"/>
  <c r="BB27" i="18"/>
  <c r="BB28" i="18" s="1"/>
  <c r="BB40" i="18"/>
  <c r="BB41" i="18" s="1"/>
  <c r="BA22" i="28"/>
  <c r="BA82" i="20"/>
  <c r="AT11" i="34"/>
  <c r="AT12" i="34" s="1"/>
  <c r="BB13" i="28"/>
  <c r="BB14" i="28" s="1"/>
  <c r="X13" i="29"/>
  <c r="BB49" i="19"/>
  <c r="BB51" i="19" s="1"/>
  <c r="BB36" i="19" s="1"/>
  <c r="BC37" i="19" s="1"/>
  <c r="BB30" i="19"/>
  <c r="BB32" i="19" s="1"/>
  <c r="BC16" i="37"/>
  <c r="BC63" i="12"/>
  <c r="BC65" i="12" s="1"/>
  <c r="BC71" i="12"/>
  <c r="BC73" i="12" s="1"/>
  <c r="AT20" i="31"/>
  <c r="AT21" i="31" s="1"/>
  <c r="AT23" i="9" s="1"/>
  <c r="AU75" i="20"/>
  <c r="AR23" i="31"/>
  <c r="AR15" i="22"/>
  <c r="AR17" i="22" s="1"/>
  <c r="AR21" i="22" s="1"/>
  <c r="BH18" i="34"/>
  <c r="Z18" i="35"/>
  <c r="BB39" i="16"/>
  <c r="BB40" i="16" s="1"/>
  <c r="BB14" i="20"/>
  <c r="BB15" i="20" s="1"/>
  <c r="BB20" i="20"/>
  <c r="BB21" i="20" s="1"/>
  <c r="BB34" i="20" s="1"/>
  <c r="BB32" i="13"/>
  <c r="BC28" i="13"/>
  <c r="BD14" i="16"/>
  <c r="BD28" i="16"/>
  <c r="X14" i="29" l="1"/>
  <c r="BB9" i="31"/>
  <c r="X9" i="32"/>
  <c r="BC17" i="37"/>
  <c r="BD70" i="12"/>
  <c r="BC17" i="11"/>
  <c r="BC18" i="11" s="1"/>
  <c r="BA37" i="9"/>
  <c r="BA38" i="9" s="1"/>
  <c r="AS12" i="9"/>
  <c r="AS13" i="9" s="1"/>
  <c r="U29" i="35"/>
  <c r="BC15" i="37"/>
  <c r="BD60" i="12"/>
  <c r="BB16" i="28"/>
  <c r="X16" i="29"/>
  <c r="BB39" i="20"/>
  <c r="BB25" i="20"/>
  <c r="BB27" i="20" s="1"/>
  <c r="AU66" i="20"/>
  <c r="AU68" i="20" s="1"/>
  <c r="BB19" i="31"/>
  <c r="BC29" i="19"/>
  <c r="X19" i="32"/>
  <c r="BB33" i="18"/>
  <c r="BB46" i="18"/>
  <c r="BB47" i="18" s="1"/>
  <c r="BB42" i="18"/>
  <c r="BC21" i="19"/>
  <c r="BC43" i="15"/>
  <c r="BC45" i="15" s="1"/>
  <c r="BC21" i="15"/>
  <c r="BE22" i="15" s="1"/>
  <c r="BB34" i="17"/>
  <c r="BB35" i="17" s="1"/>
  <c r="BB13" i="17" s="1"/>
  <c r="BB15" i="17" s="1"/>
  <c r="BB48" i="17"/>
  <c r="BD20" i="34"/>
  <c r="BB41" i="16"/>
  <c r="BB45" i="16"/>
  <c r="BB46" i="16" s="1"/>
  <c r="BB32" i="16"/>
  <c r="BC31" i="19"/>
  <c r="BC38" i="19"/>
  <c r="AT15" i="34"/>
  <c r="BB29" i="18"/>
  <c r="BB14" i="18"/>
  <c r="BD28" i="10"/>
  <c r="BC11" i="37"/>
  <c r="BC20" i="17"/>
  <c r="BC22" i="17" s="1"/>
  <c r="BC13" i="15"/>
  <c r="BC14" i="15" s="1"/>
  <c r="BC21" i="13"/>
  <c r="BC23" i="13" s="1"/>
  <c r="BC39" i="12"/>
  <c r="BI41" i="12" s="1"/>
  <c r="BC48" i="12"/>
  <c r="BC50" i="12" s="1"/>
  <c r="BC17" i="9"/>
  <c r="BC18" i="9" s="1"/>
  <c r="BB16" i="31" l="1"/>
  <c r="BC11" i="17"/>
  <c r="X16" i="32"/>
  <c r="BE8" i="34"/>
  <c r="BE44" i="15"/>
  <c r="Y8" i="35"/>
  <c r="BB48" i="18"/>
  <c r="BB34" i="18"/>
  <c r="BB35" i="18" s="1"/>
  <c r="BB13" i="18" s="1"/>
  <c r="BB15" i="18" s="1"/>
  <c r="BC10" i="31"/>
  <c r="BD41" i="15"/>
  <c r="BC17" i="34"/>
  <c r="BC27" i="17"/>
  <c r="BI28" i="17" s="1"/>
  <c r="BC12" i="17"/>
  <c r="BB35" i="20"/>
  <c r="BB36" i="20" s="1"/>
  <c r="BC33" i="20" s="1"/>
  <c r="BB40" i="20"/>
  <c r="BB41" i="20" s="1"/>
  <c r="BB46" i="20" s="1"/>
  <c r="BB47" i="20" s="1"/>
  <c r="AT26" i="34"/>
  <c r="AS11" i="31"/>
  <c r="AS12" i="31" s="1"/>
  <c r="AS9" i="8"/>
  <c r="AT11" i="9"/>
  <c r="L11" i="24"/>
  <c r="O11" i="33"/>
  <c r="U11" i="32"/>
  <c r="BC29" i="15"/>
  <c r="BC10" i="12"/>
  <c r="BC11" i="12" s="1"/>
  <c r="BC10" i="34"/>
  <c r="BC12" i="37"/>
  <c r="BC12" i="13"/>
  <c r="BC13" i="13" s="1"/>
  <c r="BD47" i="12"/>
  <c r="BC8" i="31"/>
  <c r="BD20" i="13"/>
  <c r="BB22" i="34"/>
  <c r="X22" i="35"/>
  <c r="BB47" i="16"/>
  <c r="BB33" i="16"/>
  <c r="BB34" i="16" s="1"/>
  <c r="BB13" i="16" s="1"/>
  <c r="BB15" i="16" s="1"/>
  <c r="AU69" i="20"/>
  <c r="AU77" i="20"/>
  <c r="AU78" i="20" s="1"/>
  <c r="BA25" i="31"/>
  <c r="BB36" i="9"/>
  <c r="BA28" i="9"/>
  <c r="BA30" i="9" s="1"/>
  <c r="BB23" i="34"/>
  <c r="X23" i="35"/>
  <c r="BC48" i="19"/>
  <c r="BI13" i="37"/>
  <c r="BI20" i="18"/>
  <c r="BI22" i="18" s="1"/>
  <c r="BI49" i="12"/>
  <c r="BI61" i="12"/>
  <c r="BC15" i="15"/>
  <c r="BC32" i="15"/>
  <c r="BB17" i="28"/>
  <c r="X17" i="29"/>
  <c r="BB18" i="28"/>
  <c r="X18" i="29"/>
  <c r="BD27" i="10"/>
  <c r="BD29" i="10" s="1"/>
  <c r="BC8" i="28"/>
  <c r="BC11" i="28" s="1"/>
  <c r="BC19" i="16"/>
  <c r="BC21" i="16" s="1"/>
  <c r="BC26" i="11"/>
  <c r="BC27" i="11" s="1"/>
  <c r="BB19" i="28" l="1"/>
  <c r="BB82" i="20"/>
  <c r="X19" i="29"/>
  <c r="BB17" i="31"/>
  <c r="BC11" i="16"/>
  <c r="X17" i="32"/>
  <c r="BB25" i="34"/>
  <c r="X25" i="35"/>
  <c r="BB24" i="34"/>
  <c r="X24" i="35"/>
  <c r="BI29" i="17"/>
  <c r="BI14" i="17"/>
  <c r="BI21" i="34"/>
  <c r="BI12" i="18"/>
  <c r="BA27" i="31"/>
  <c r="BA16" i="22"/>
  <c r="AT29" i="34"/>
  <c r="BD25" i="12"/>
  <c r="BC14" i="31"/>
  <c r="BD24" i="11"/>
  <c r="BC19" i="34"/>
  <c r="BC26" i="16"/>
  <c r="BE27" i="16" s="1"/>
  <c r="BC12" i="16"/>
  <c r="BC29" i="13"/>
  <c r="BC31" i="13" s="1"/>
  <c r="BC14" i="13"/>
  <c r="BD53" i="12"/>
  <c r="BD54" i="12" s="1"/>
  <c r="BD11" i="11"/>
  <c r="BD12" i="11" s="1"/>
  <c r="BD23" i="10"/>
  <c r="BD24" i="10" s="1"/>
  <c r="BC14" i="34"/>
  <c r="BC26" i="20"/>
  <c r="BC9" i="20"/>
  <c r="BC10" i="20" s="1"/>
  <c r="AU20" i="31"/>
  <c r="AU21" i="31" s="1"/>
  <c r="AU23" i="9" s="1"/>
  <c r="AV75" i="20"/>
  <c r="BD11" i="13"/>
  <c r="BB18" i="31"/>
  <c r="BC11" i="18"/>
  <c r="X18" i="32"/>
  <c r="BC40" i="17"/>
  <c r="BC41" i="17" s="1"/>
  <c r="BB76" i="20"/>
  <c r="BB81" i="20"/>
  <c r="BB48" i="20"/>
  <c r="AU11" i="34"/>
  <c r="AU12" i="34" s="1"/>
  <c r="BC9" i="19"/>
  <c r="BC11" i="19" s="1"/>
  <c r="BC22" i="19" s="1"/>
  <c r="BC23" i="19" s="1"/>
  <c r="BC30" i="15"/>
  <c r="BC36" i="15" s="1"/>
  <c r="AS22" i="9"/>
  <c r="AS24" i="9" s="1"/>
  <c r="U12" i="32"/>
  <c r="L12" i="24"/>
  <c r="O12" i="33"/>
  <c r="BC15" i="31" l="1"/>
  <c r="BD28" i="15"/>
  <c r="BC40" i="18"/>
  <c r="BC41" i="18" s="1"/>
  <c r="BC27" i="18"/>
  <c r="BC28" i="18" s="1"/>
  <c r="BC46" i="17"/>
  <c r="BC47" i="17" s="1"/>
  <c r="BC33" i="17"/>
  <c r="BC42" i="17"/>
  <c r="AT12" i="9"/>
  <c r="AT13" i="9" s="1"/>
  <c r="BC13" i="28"/>
  <c r="BC14" i="28" s="1"/>
  <c r="BI18" i="34"/>
  <c r="BC32" i="13"/>
  <c r="BC9" i="31" s="1"/>
  <c r="BD28" i="13"/>
  <c r="BC39" i="16"/>
  <c r="BC40" i="16" s="1"/>
  <c r="BB21" i="28"/>
  <c r="BB22" i="28" s="1"/>
  <c r="X21" i="29"/>
  <c r="BE28" i="16"/>
  <c r="BE14" i="16"/>
  <c r="AU15" i="34"/>
  <c r="AS23" i="31"/>
  <c r="AS15" i="22"/>
  <c r="AS17" i="22" s="1"/>
  <c r="AS21" i="22" s="1"/>
  <c r="L23" i="24"/>
  <c r="U23" i="32"/>
  <c r="O23" i="33"/>
  <c r="BC20" i="20"/>
  <c r="BC21" i="20" s="1"/>
  <c r="BC34" i="20" s="1"/>
  <c r="BC14" i="20"/>
  <c r="BC15" i="20" s="1"/>
  <c r="BD10" i="37"/>
  <c r="BD24" i="12"/>
  <c r="BD26" i="12" s="1"/>
  <c r="BD31" i="12" s="1"/>
  <c r="BD33" i="12" s="1"/>
  <c r="BE20" i="10"/>
  <c r="BC49" i="19"/>
  <c r="BC51" i="19" s="1"/>
  <c r="BC36" i="19" s="1"/>
  <c r="BD37" i="19" s="1"/>
  <c r="BC30" i="19"/>
  <c r="BC32" i="19" s="1"/>
  <c r="BD16" i="19"/>
  <c r="BD17" i="19" s="1"/>
  <c r="BD42" i="15"/>
  <c r="BD20" i="15"/>
  <c r="BD25" i="11"/>
  <c r="AV66" i="20"/>
  <c r="AV68" i="20" s="1"/>
  <c r="BD16" i="37"/>
  <c r="BD63" i="12"/>
  <c r="BD65" i="12" s="1"/>
  <c r="BD71" i="12"/>
  <c r="BD73" i="12" s="1"/>
  <c r="BC19" i="31" l="1"/>
  <c r="BD29" i="19"/>
  <c r="BD17" i="37"/>
  <c r="BE70" i="12"/>
  <c r="BD17" i="11"/>
  <c r="BD18" i="11" s="1"/>
  <c r="BD21" i="19"/>
  <c r="BD43" i="15"/>
  <c r="BD45" i="15" s="1"/>
  <c r="BD21" i="15"/>
  <c r="BF22" i="15" s="1"/>
  <c r="AU26" i="34"/>
  <c r="BC45" i="16"/>
  <c r="BC46" i="16" s="1"/>
  <c r="BC41" i="16"/>
  <c r="BC32" i="16"/>
  <c r="BC16" i="28"/>
  <c r="AV77" i="20"/>
  <c r="AV78" i="20" s="1"/>
  <c r="AV69" i="20"/>
  <c r="BC29" i="18"/>
  <c r="BC14" i="18"/>
  <c r="BD15" i="37"/>
  <c r="BE60" i="12"/>
  <c r="BC33" i="18"/>
  <c r="BC46" i="18"/>
  <c r="BC47" i="18" s="1"/>
  <c r="BC42" i="18"/>
  <c r="BD31" i="19"/>
  <c r="BD38" i="19"/>
  <c r="BE20" i="34"/>
  <c r="Y20" i="35"/>
  <c r="BC48" i="17"/>
  <c r="BC34" i="17"/>
  <c r="BC35" i="17" s="1"/>
  <c r="BC13" i="17" s="1"/>
  <c r="BC15" i="17" s="1"/>
  <c r="BE28" i="10"/>
  <c r="BD11" i="37"/>
  <c r="BD20" i="17"/>
  <c r="BD22" i="17" s="1"/>
  <c r="BD13" i="15"/>
  <c r="BD14" i="15" s="1"/>
  <c r="BD21" i="13"/>
  <c r="BD23" i="13" s="1"/>
  <c r="BD39" i="12"/>
  <c r="BJ41" i="12" s="1"/>
  <c r="BD48" i="12"/>
  <c r="BD50" i="12" s="1"/>
  <c r="BD17" i="9"/>
  <c r="BD18" i="9" s="1"/>
  <c r="BC39" i="20"/>
  <c r="BC25" i="20"/>
  <c r="BC27" i="20" s="1"/>
  <c r="BB37" i="9"/>
  <c r="BB38" i="9" s="1"/>
  <c r="X22" i="29"/>
  <c r="AT11" i="31"/>
  <c r="AT12" i="31" s="1"/>
  <c r="AT22" i="9" s="1"/>
  <c r="AT24" i="9" s="1"/>
  <c r="AT9" i="8"/>
  <c r="AU11" i="9"/>
  <c r="BD10" i="31" l="1"/>
  <c r="BE41" i="15"/>
  <c r="BC16" i="31"/>
  <c r="BD11" i="17"/>
  <c r="BC18" i="28"/>
  <c r="AV11" i="34"/>
  <c r="AV12" i="34" s="1"/>
  <c r="V11" i="35"/>
  <c r="BC17" i="28"/>
  <c r="BC19" i="28" s="1"/>
  <c r="BC22" i="34"/>
  <c r="AT23" i="31"/>
  <c r="AT15" i="22"/>
  <c r="AT17" i="22" s="1"/>
  <c r="AT21" i="22" s="1"/>
  <c r="BD29" i="15"/>
  <c r="BD10" i="12"/>
  <c r="BD11" i="12" s="1"/>
  <c r="BC34" i="18"/>
  <c r="BC35" i="18" s="1"/>
  <c r="BC13" i="18" s="1"/>
  <c r="BC15" i="18" s="1"/>
  <c r="BC48" i="18"/>
  <c r="AV20" i="31"/>
  <c r="AV21" i="31" s="1"/>
  <c r="AW75" i="20"/>
  <c r="V20" i="32"/>
  <c r="BC47" i="16"/>
  <c r="BC33" i="16"/>
  <c r="BD8" i="28"/>
  <c r="BD11" i="28" s="1"/>
  <c r="BD19" i="16"/>
  <c r="BD21" i="16" s="1"/>
  <c r="BD26" i="11"/>
  <c r="BD27" i="11" s="1"/>
  <c r="BD12" i="37"/>
  <c r="BD12" i="13"/>
  <c r="BD13" i="13" s="1"/>
  <c r="BE47" i="12"/>
  <c r="BJ13" i="37"/>
  <c r="BJ20" i="18"/>
  <c r="BJ22" i="18" s="1"/>
  <c r="BJ61" i="12"/>
  <c r="BJ49" i="12"/>
  <c r="BC23" i="34"/>
  <c r="BD48" i="19"/>
  <c r="BB25" i="31"/>
  <c r="BB28" i="9"/>
  <c r="BB30" i="9" s="1"/>
  <c r="BC36" i="9"/>
  <c r="X25" i="32"/>
  <c r="BD8" i="31"/>
  <c r="BE20" i="13"/>
  <c r="BD15" i="15"/>
  <c r="BD32" i="15"/>
  <c r="AU29" i="34"/>
  <c r="BF8" i="34"/>
  <c r="BF44" i="15"/>
  <c r="BC34" i="16"/>
  <c r="BC13" i="16" s="1"/>
  <c r="BC15" i="16" s="1"/>
  <c r="BE27" i="10"/>
  <c r="BE29" i="10" s="1"/>
  <c r="BC40" i="20"/>
  <c r="BC35" i="20"/>
  <c r="BC36" i="20" s="1"/>
  <c r="BD33" i="20" s="1"/>
  <c r="BC41" i="20"/>
  <c r="BC46" i="20" s="1"/>
  <c r="BC47" i="20" s="1"/>
  <c r="BD17" i="34"/>
  <c r="BD12" i="17"/>
  <c r="BD27" i="17"/>
  <c r="BJ28" i="17" s="1"/>
  <c r="BD10" i="34"/>
  <c r="BC18" i="31" l="1"/>
  <c r="BD11" i="18"/>
  <c r="AV15" i="34"/>
  <c r="V12" i="35"/>
  <c r="BD9" i="20"/>
  <c r="BD10" i="20" s="1"/>
  <c r="BD9" i="19"/>
  <c r="BD11" i="19" s="1"/>
  <c r="BD22" i="19" s="1"/>
  <c r="BD23" i="19" s="1"/>
  <c r="BD30" i="15"/>
  <c r="BD36" i="15" s="1"/>
  <c r="BE25" i="12"/>
  <c r="BC24" i="34"/>
  <c r="BD14" i="34"/>
  <c r="BC82" i="20"/>
  <c r="BD40" i="17"/>
  <c r="BD41" i="17" s="1"/>
  <c r="BD26" i="20"/>
  <c r="BE11" i="13"/>
  <c r="BJ29" i="17"/>
  <c r="BJ14" i="17"/>
  <c r="BB27" i="31"/>
  <c r="BB16" i="22"/>
  <c r="X27" i="32"/>
  <c r="AW66" i="20"/>
  <c r="AW68" i="20" s="1"/>
  <c r="BC17" i="31"/>
  <c r="BD11" i="16"/>
  <c r="AU12" i="9"/>
  <c r="AU13" i="9" s="1"/>
  <c r="AV23" i="9"/>
  <c r="V21" i="32"/>
  <c r="BC81" i="20"/>
  <c r="BC76" i="20"/>
  <c r="BC48" i="20"/>
  <c r="BD19" i="34"/>
  <c r="BD12" i="16"/>
  <c r="BD26" i="16"/>
  <c r="BF27" i="16" s="1"/>
  <c r="BE53" i="12"/>
  <c r="BE54" i="12" s="1"/>
  <c r="BE11" i="11"/>
  <c r="BE12" i="11" s="1"/>
  <c r="BE23" i="10"/>
  <c r="BE24" i="10" s="1"/>
  <c r="BD29" i="13"/>
  <c r="BD31" i="13" s="1"/>
  <c r="BD14" i="13"/>
  <c r="BJ21" i="34"/>
  <c r="BJ12" i="18"/>
  <c r="BD14" i="31"/>
  <c r="BE24" i="11"/>
  <c r="BC25" i="34"/>
  <c r="BD15" i="31" l="1"/>
  <c r="BE28" i="15"/>
  <c r="BD13" i="28"/>
  <c r="BD14" i="28" s="1"/>
  <c r="BF14" i="16"/>
  <c r="BF28" i="16"/>
  <c r="AW69" i="20"/>
  <c r="AW77" i="20"/>
  <c r="AW78" i="20" s="1"/>
  <c r="BD32" i="13"/>
  <c r="BD9" i="31" s="1"/>
  <c r="BE28" i="13"/>
  <c r="BD49" i="19"/>
  <c r="BD51" i="19" s="1"/>
  <c r="BD36" i="19" s="1"/>
  <c r="BE37" i="19" s="1"/>
  <c r="BD30" i="19"/>
  <c r="BD32" i="19" s="1"/>
  <c r="BC21" i="28"/>
  <c r="BC22" i="28" s="1"/>
  <c r="AU11" i="31"/>
  <c r="AU12" i="31" s="1"/>
  <c r="AU22" i="9" s="1"/>
  <c r="AU24" i="9" s="1"/>
  <c r="AV11" i="9"/>
  <c r="AU9" i="8"/>
  <c r="BD46" i="17"/>
  <c r="BD47" i="17" s="1"/>
  <c r="BD33" i="17"/>
  <c r="BD42" i="17"/>
  <c r="AV26" i="34"/>
  <c r="V15" i="35"/>
  <c r="BE16" i="19"/>
  <c r="BE17" i="19" s="1"/>
  <c r="BE42" i="15"/>
  <c r="BE20" i="15"/>
  <c r="BE25" i="11"/>
  <c r="BD39" i="16"/>
  <c r="BD40" i="16" s="1"/>
  <c r="BJ18" i="34"/>
  <c r="BD27" i="18"/>
  <c r="BD28" i="18" s="1"/>
  <c r="BD40" i="18"/>
  <c r="BD41" i="18" s="1"/>
  <c r="BE10" i="37"/>
  <c r="BE24" i="12"/>
  <c r="BE26" i="12" s="1"/>
  <c r="BE31" i="12" s="1"/>
  <c r="BE33" i="12" s="1"/>
  <c r="BF20" i="10"/>
  <c r="M10" i="26"/>
  <c r="Q10" i="39"/>
  <c r="Y10" i="38"/>
  <c r="BE16" i="37"/>
  <c r="BE63" i="12"/>
  <c r="BE65" i="12" s="1"/>
  <c r="BE71" i="12"/>
  <c r="BE73" i="12" s="1"/>
  <c r="Y16" i="38"/>
  <c r="BD20" i="20"/>
  <c r="BD21" i="20" s="1"/>
  <c r="BD34" i="20" s="1"/>
  <c r="BD14" i="20"/>
  <c r="BD15" i="20" s="1"/>
  <c r="BC37" i="9" l="1"/>
  <c r="BC38" i="9" s="1"/>
  <c r="BF20" i="34"/>
  <c r="BD33" i="18"/>
  <c r="BD46" i="18"/>
  <c r="BD47" i="18" s="1"/>
  <c r="BD42" i="18"/>
  <c r="BD48" i="17"/>
  <c r="BD34" i="17"/>
  <c r="BD35" i="17" s="1"/>
  <c r="BD13" i="17" s="1"/>
  <c r="BD15" i="17" s="1"/>
  <c r="BD19" i="31"/>
  <c r="BE29" i="19"/>
  <c r="BD29" i="18"/>
  <c r="BD14" i="18"/>
  <c r="BE21" i="19"/>
  <c r="BE43" i="15"/>
  <c r="BE45" i="15" s="1"/>
  <c r="BE21" i="15"/>
  <c r="BG22" i="15" s="1"/>
  <c r="BE31" i="19"/>
  <c r="BE38" i="19"/>
  <c r="BD39" i="20"/>
  <c r="BD25" i="20"/>
  <c r="BD27" i="20" s="1"/>
  <c r="AU23" i="31"/>
  <c r="AU15" i="22"/>
  <c r="AU17" i="22" s="1"/>
  <c r="AU21" i="22" s="1"/>
  <c r="BF28" i="10"/>
  <c r="AW20" i="31"/>
  <c r="AW21" i="31" s="1"/>
  <c r="AW23" i="9" s="1"/>
  <c r="AX75" i="20"/>
  <c r="BE15" i="37"/>
  <c r="BF60" i="12"/>
  <c r="Q15" i="39"/>
  <c r="M15" i="26"/>
  <c r="Y15" i="38"/>
  <c r="BD16" i="28"/>
  <c r="BE17" i="37"/>
  <c r="BF70" i="12"/>
  <c r="BE17" i="11"/>
  <c r="BE18" i="11" s="1"/>
  <c r="Q17" i="39"/>
  <c r="M17" i="26"/>
  <c r="Y17" i="38"/>
  <c r="BE11" i="37"/>
  <c r="BE20" i="17"/>
  <c r="BE22" i="17" s="1"/>
  <c r="BE13" i="15"/>
  <c r="BE14" i="15" s="1"/>
  <c r="BE21" i="13"/>
  <c r="BE23" i="13" s="1"/>
  <c r="BE39" i="12"/>
  <c r="BK41" i="12" s="1"/>
  <c r="BE48" i="12"/>
  <c r="BE50" i="12" s="1"/>
  <c r="BE17" i="9"/>
  <c r="BE18" i="9" s="1"/>
  <c r="Y11" i="38"/>
  <c r="BD41" i="16"/>
  <c r="BD32" i="16"/>
  <c r="BD45" i="16"/>
  <c r="BD46" i="16" s="1"/>
  <c r="AV29" i="34"/>
  <c r="V26" i="35"/>
  <c r="AW11" i="34"/>
  <c r="AW12" i="34" s="1"/>
  <c r="BD16" i="31" l="1"/>
  <c r="BE11" i="17"/>
  <c r="BG8" i="34"/>
  <c r="BG44" i="15"/>
  <c r="BE10" i="31"/>
  <c r="BF41" i="15"/>
  <c r="M10" i="24"/>
  <c r="Q10" i="33"/>
  <c r="Y10" i="32"/>
  <c r="BE17" i="34"/>
  <c r="BE27" i="17"/>
  <c r="BK28" i="17" s="1"/>
  <c r="BE12" i="17"/>
  <c r="Y17" i="35"/>
  <c r="BD40" i="20"/>
  <c r="BD41" i="20" s="1"/>
  <c r="BD46" i="20" s="1"/>
  <c r="BD47" i="20" s="1"/>
  <c r="BD35" i="20"/>
  <c r="BD36" i="20" s="1"/>
  <c r="BE33" i="20" s="1"/>
  <c r="BD23" i="34"/>
  <c r="AX66" i="20"/>
  <c r="AX68" i="20" s="1"/>
  <c r="BE15" i="15"/>
  <c r="BE32" i="15"/>
  <c r="BD17" i="28"/>
  <c r="BD18" i="28"/>
  <c r="BD33" i="16"/>
  <c r="BD34" i="16" s="1"/>
  <c r="BD13" i="16" s="1"/>
  <c r="BD15" i="16" s="1"/>
  <c r="BD47" i="16"/>
  <c r="BD34" i="18"/>
  <c r="BD35" i="18" s="1"/>
  <c r="BD13" i="18" s="1"/>
  <c r="BD15" i="18" s="1"/>
  <c r="BD48" i="18"/>
  <c r="BC25" i="31"/>
  <c r="BD36" i="9"/>
  <c r="BC28" i="9"/>
  <c r="BC30" i="9" s="1"/>
  <c r="BD22" i="34"/>
  <c r="BE29" i="15"/>
  <c r="BE10" i="12"/>
  <c r="BE11" i="12" s="1"/>
  <c r="BE12" i="37"/>
  <c r="BE12" i="13"/>
  <c r="BE13" i="13" s="1"/>
  <c r="BF47" i="12"/>
  <c r="Y12" i="38"/>
  <c r="Q12" i="39"/>
  <c r="M12" i="26"/>
  <c r="BE48" i="19"/>
  <c r="AW15" i="34"/>
  <c r="BK13" i="37"/>
  <c r="BK20" i="18"/>
  <c r="BK22" i="18" s="1"/>
  <c r="BK61" i="12"/>
  <c r="BK49" i="12"/>
  <c r="AA13" i="38"/>
  <c r="BE8" i="28"/>
  <c r="BE11" i="28" s="1"/>
  <c r="BE19" i="16"/>
  <c r="BE21" i="16" s="1"/>
  <c r="BE26" i="11"/>
  <c r="BE27" i="11" s="1"/>
  <c r="Y8" i="29"/>
  <c r="AV12" i="9"/>
  <c r="AV13" i="9" s="1"/>
  <c r="V29" i="35"/>
  <c r="BE8" i="31"/>
  <c r="BF20" i="13"/>
  <c r="M8" i="24"/>
  <c r="Q8" i="33"/>
  <c r="Y8" i="32"/>
  <c r="BF27" i="10"/>
  <c r="BF29" i="10" s="1"/>
  <c r="BE10" i="34"/>
  <c r="Y10" i="35"/>
  <c r="BD19" i="28" l="1"/>
  <c r="BD81" i="20"/>
  <c r="BD48" i="20"/>
  <c r="BD76" i="20"/>
  <c r="BD82" i="20"/>
  <c r="BE14" i="31"/>
  <c r="BF24" i="11"/>
  <c r="Q14" i="33"/>
  <c r="Y14" i="32"/>
  <c r="M14" i="24"/>
  <c r="BF11" i="13"/>
  <c r="BE19" i="34"/>
  <c r="BE26" i="16"/>
  <c r="BG27" i="16" s="1"/>
  <c r="BE12" i="16"/>
  <c r="Y19" i="35"/>
  <c r="BF25" i="12"/>
  <c r="BC27" i="31"/>
  <c r="BC16" i="22"/>
  <c r="AX77" i="20"/>
  <c r="AX78" i="20" s="1"/>
  <c r="AX69" i="20"/>
  <c r="BD17" i="31"/>
  <c r="BE11" i="16"/>
  <c r="AW26" i="34"/>
  <c r="BK29" i="17"/>
  <c r="BK14" i="17"/>
  <c r="BE29" i="13"/>
  <c r="BE31" i="13" s="1"/>
  <c r="BE14" i="13"/>
  <c r="BE9" i="19"/>
  <c r="BE11" i="19" s="1"/>
  <c r="BE22" i="19" s="1"/>
  <c r="BE23" i="19" s="1"/>
  <c r="BE30" i="15"/>
  <c r="BE36" i="15" s="1"/>
  <c r="BD25" i="34"/>
  <c r="BE26" i="20"/>
  <c r="BF53" i="12"/>
  <c r="BF54" i="12" s="1"/>
  <c r="BF11" i="11"/>
  <c r="BF12" i="11" s="1"/>
  <c r="BF23" i="10"/>
  <c r="BF24" i="10" s="1"/>
  <c r="AV11" i="31"/>
  <c r="AV12" i="31" s="1"/>
  <c r="AV9" i="8"/>
  <c r="AW11" i="9"/>
  <c r="V11" i="32"/>
  <c r="BK21" i="34"/>
  <c r="BK12" i="18"/>
  <c r="AA21" i="35"/>
  <c r="BD18" i="31"/>
  <c r="BE11" i="18"/>
  <c r="BD24" i="34"/>
  <c r="BE14" i="34"/>
  <c r="Y14" i="35"/>
  <c r="BE40" i="17"/>
  <c r="BE41" i="17" s="1"/>
  <c r="BE9" i="20"/>
  <c r="BE10" i="20" s="1"/>
  <c r="Y11" i="29"/>
  <c r="BE40" i="18" l="1"/>
  <c r="BE41" i="18" s="1"/>
  <c r="BE27" i="18"/>
  <c r="BE28" i="18" s="1"/>
  <c r="BE42" i="17"/>
  <c r="BE33" i="17"/>
  <c r="BE46" i="17"/>
  <c r="BE47" i="17" s="1"/>
  <c r="AV22" i="9"/>
  <c r="AV24" i="9" s="1"/>
  <c r="V12" i="32"/>
  <c r="BE15" i="31"/>
  <c r="BF28" i="15"/>
  <c r="Y15" i="32"/>
  <c r="M15" i="24"/>
  <c r="Q15" i="33"/>
  <c r="AX11" i="34"/>
  <c r="AX12" i="34" s="1"/>
  <c r="BG28" i="16"/>
  <c r="BG14" i="16"/>
  <c r="BF10" i="37"/>
  <c r="BF24" i="12"/>
  <c r="BF26" i="12" s="1"/>
  <c r="BF31" i="12" s="1"/>
  <c r="BF33" i="12" s="1"/>
  <c r="BG20" i="10"/>
  <c r="BF16" i="19"/>
  <c r="BF17" i="19" s="1"/>
  <c r="BF42" i="15"/>
  <c r="BF20" i="15"/>
  <c r="BF25" i="11"/>
  <c r="BK18" i="34"/>
  <c r="AA18" i="35"/>
  <c r="BF16" i="37"/>
  <c r="BF71" i="12"/>
  <c r="BF73" i="12" s="1"/>
  <c r="BF63" i="12"/>
  <c r="BF65" i="12" s="1"/>
  <c r="BE49" i="19"/>
  <c r="BE51" i="19" s="1"/>
  <c r="BE36" i="19" s="1"/>
  <c r="BF37" i="19" s="1"/>
  <c r="BE30" i="19"/>
  <c r="BE32" i="19" s="1"/>
  <c r="AX20" i="31"/>
  <c r="AX21" i="31" s="1"/>
  <c r="AX23" i="9" s="1"/>
  <c r="AY75" i="20"/>
  <c r="BE13" i="28"/>
  <c r="BE14" i="28" s="1"/>
  <c r="Y13" i="29"/>
  <c r="AW29" i="34"/>
  <c r="BD21" i="28"/>
  <c r="BD22" i="28" s="1"/>
  <c r="BE14" i="20"/>
  <c r="BE15" i="20" s="1"/>
  <c r="BE20" i="20"/>
  <c r="BE21" i="20" s="1"/>
  <c r="BE34" i="20" s="1"/>
  <c r="BE32" i="13"/>
  <c r="BF28" i="13"/>
  <c r="BE39" i="16"/>
  <c r="BE40" i="16" s="1"/>
  <c r="AV23" i="31" l="1"/>
  <c r="AV15" i="22"/>
  <c r="AV17" i="22" s="1"/>
  <c r="AV21" i="22" s="1"/>
  <c r="V23" i="32"/>
  <c r="BD37" i="9"/>
  <c r="BD38" i="9" s="1"/>
  <c r="AY66" i="20"/>
  <c r="AY68" i="20" s="1"/>
  <c r="BF17" i="37"/>
  <c r="BG70" i="12"/>
  <c r="BF17" i="11"/>
  <c r="BF18" i="11" s="1"/>
  <c r="BF21" i="19"/>
  <c r="BF43" i="15"/>
  <c r="BF21" i="15"/>
  <c r="BH22" i="15" s="1"/>
  <c r="AX15" i="34"/>
  <c r="BE48" i="17"/>
  <c r="BE34" i="17"/>
  <c r="BG28" i="10"/>
  <c r="BE35" i="17"/>
  <c r="BE13" i="17" s="1"/>
  <c r="BE15" i="17" s="1"/>
  <c r="BF11" i="37"/>
  <c r="BF20" i="17"/>
  <c r="BF22" i="17" s="1"/>
  <c r="BF13" i="15"/>
  <c r="BF14" i="15" s="1"/>
  <c r="BF21" i="13"/>
  <c r="BF23" i="13" s="1"/>
  <c r="BF39" i="12"/>
  <c r="BL41" i="12" s="1"/>
  <c r="BF48" i="12"/>
  <c r="BF50" i="12" s="1"/>
  <c r="BF17" i="9"/>
  <c r="BF18" i="9" s="1"/>
  <c r="BE16" i="28"/>
  <c r="Y16" i="29"/>
  <c r="BF15" i="37"/>
  <c r="BG60" i="12"/>
  <c r="BF45" i="15"/>
  <c r="BE41" i="16"/>
  <c r="BE32" i="16"/>
  <c r="BE45" i="16"/>
  <c r="BE46" i="16" s="1"/>
  <c r="BF31" i="19"/>
  <c r="BF38" i="19"/>
  <c r="BE19" i="31"/>
  <c r="BF29" i="19"/>
  <c r="M19" i="24"/>
  <c r="Y19" i="32"/>
  <c r="Q19" i="33"/>
  <c r="BE9" i="31"/>
  <c r="M9" i="24"/>
  <c r="Y9" i="32"/>
  <c r="Q9" i="33"/>
  <c r="AW12" i="9"/>
  <c r="AW13" i="9" s="1"/>
  <c r="BE29" i="18"/>
  <c r="BE14" i="18"/>
  <c r="BE39" i="20"/>
  <c r="BE25" i="20"/>
  <c r="BE27" i="20" s="1"/>
  <c r="Y14" i="29"/>
  <c r="BG20" i="34"/>
  <c r="BE33" i="18"/>
  <c r="BE46" i="18"/>
  <c r="BE47" i="18" s="1"/>
  <c r="BE42" i="18"/>
  <c r="BH8" i="34" l="1"/>
  <c r="BH44" i="15"/>
  <c r="Z8" i="35"/>
  <c r="BE47" i="16"/>
  <c r="BE33" i="16"/>
  <c r="BE34" i="16" s="1"/>
  <c r="BE13" i="16" s="1"/>
  <c r="BE15" i="16" s="1"/>
  <c r="AX26" i="34"/>
  <c r="BE17" i="28"/>
  <c r="Y17" i="29"/>
  <c r="BE16" i="31"/>
  <c r="BF11" i="17"/>
  <c r="M16" i="24"/>
  <c r="Q16" i="33"/>
  <c r="Y16" i="32"/>
  <c r="BD25" i="31"/>
  <c r="BE36" i="9"/>
  <c r="BD28" i="9"/>
  <c r="BD30" i="9" s="1"/>
  <c r="BE18" i="28"/>
  <c r="Y18" i="29"/>
  <c r="BF17" i="34"/>
  <c r="BF27" i="17"/>
  <c r="BL28" i="17" s="1"/>
  <c r="BF12" i="17"/>
  <c r="BE48" i="18"/>
  <c r="BE34" i="18"/>
  <c r="BE35" i="18"/>
  <c r="BE13" i="18" s="1"/>
  <c r="BE15" i="18" s="1"/>
  <c r="BE40" i="20"/>
  <c r="BE41" i="20" s="1"/>
  <c r="BE46" i="20" s="1"/>
  <c r="BE47" i="20" s="1"/>
  <c r="BE35" i="20"/>
  <c r="BE36" i="20" s="1"/>
  <c r="BF33" i="20" s="1"/>
  <c r="BF10" i="31"/>
  <c r="BG41" i="15"/>
  <c r="BF29" i="15"/>
  <c r="BF10" i="12"/>
  <c r="BF11" i="12" s="1"/>
  <c r="BF48" i="19"/>
  <c r="BG27" i="10"/>
  <c r="BG29" i="10" s="1"/>
  <c r="BF12" i="37"/>
  <c r="BG47" i="12"/>
  <c r="BF12" i="13"/>
  <c r="BF13" i="13" s="1"/>
  <c r="BF8" i="28"/>
  <c r="BF11" i="28" s="1"/>
  <c r="BF19" i="16"/>
  <c r="BF21" i="16" s="1"/>
  <c r="BF26" i="11"/>
  <c r="BF27" i="11" s="1"/>
  <c r="BL13" i="37"/>
  <c r="BL20" i="18"/>
  <c r="BL22" i="18" s="1"/>
  <c r="BL61" i="12"/>
  <c r="BL49" i="12"/>
  <c r="BE22" i="34"/>
  <c r="Y22" i="35"/>
  <c r="BF8" i="31"/>
  <c r="BG20" i="13"/>
  <c r="BE23" i="34"/>
  <c r="Y23" i="35"/>
  <c r="AY69" i="20"/>
  <c r="AY77" i="20"/>
  <c r="AY78" i="20" s="1"/>
  <c r="AW11" i="31"/>
  <c r="AW12" i="31" s="1"/>
  <c r="AW22" i="9" s="1"/>
  <c r="AW24" i="9" s="1"/>
  <c r="AX11" i="9"/>
  <c r="AW9" i="8"/>
  <c r="BF10" i="34"/>
  <c r="BF15" i="15"/>
  <c r="BF32" i="15"/>
  <c r="BE17" i="31" l="1"/>
  <c r="BF11" i="16"/>
  <c r="Q17" i="33"/>
  <c r="Y17" i="32"/>
  <c r="M17" i="24"/>
  <c r="BE76" i="20"/>
  <c r="BE81" i="20"/>
  <c r="BE48" i="20"/>
  <c r="BG11" i="13"/>
  <c r="BF9" i="20"/>
  <c r="BF10" i="20" s="1"/>
  <c r="BE18" i="31"/>
  <c r="BF11" i="18"/>
  <c r="Y18" i="32"/>
  <c r="M18" i="24"/>
  <c r="Q18" i="33"/>
  <c r="BL29" i="17"/>
  <c r="BL14" i="17"/>
  <c r="BL21" i="34"/>
  <c r="BL12" i="18"/>
  <c r="BF29" i="13"/>
  <c r="BF31" i="13" s="1"/>
  <c r="BF14" i="13"/>
  <c r="BF9" i="19"/>
  <c r="BF11" i="19" s="1"/>
  <c r="BF22" i="19" s="1"/>
  <c r="BF23" i="19" s="1"/>
  <c r="BF30" i="15"/>
  <c r="BF36" i="15" s="1"/>
  <c r="BE24" i="34"/>
  <c r="Y24" i="35"/>
  <c r="AX29" i="34"/>
  <c r="BF40" i="17"/>
  <c r="BF41" i="17" s="1"/>
  <c r="BG25" i="12"/>
  <c r="BF14" i="34"/>
  <c r="AW23" i="31"/>
  <c r="AW15" i="22"/>
  <c r="AW17" i="22" s="1"/>
  <c r="AW21" i="22" s="1"/>
  <c r="BE25" i="34"/>
  <c r="Y25" i="35"/>
  <c r="BD27" i="31"/>
  <c r="BD16" i="22"/>
  <c r="BF19" i="34"/>
  <c r="BF12" i="16"/>
  <c r="BF26" i="16"/>
  <c r="BH27" i="16" s="1"/>
  <c r="AY20" i="31"/>
  <c r="AY21" i="31" s="1"/>
  <c r="AZ75" i="20"/>
  <c r="P20" i="33"/>
  <c r="W20" i="32"/>
  <c r="AY11" i="34"/>
  <c r="AY12" i="34" s="1"/>
  <c r="W11" i="35"/>
  <c r="BG53" i="12"/>
  <c r="BG54" i="12" s="1"/>
  <c r="BG11" i="11"/>
  <c r="BG12" i="11" s="1"/>
  <c r="BG23" i="10"/>
  <c r="BG24" i="10" s="1"/>
  <c r="BE19" i="28"/>
  <c r="BF14" i="31"/>
  <c r="BG24" i="11"/>
  <c r="BF26" i="20"/>
  <c r="BF13" i="28" l="1"/>
  <c r="BF14" i="28" s="1"/>
  <c r="BG16" i="19"/>
  <c r="BG17" i="19" s="1"/>
  <c r="BG42" i="15"/>
  <c r="BG20" i="15"/>
  <c r="BG25" i="11"/>
  <c r="BE82" i="20"/>
  <c r="Y19" i="29"/>
  <c r="BF42" i="17"/>
  <c r="BF46" i="17"/>
  <c r="BF47" i="17" s="1"/>
  <c r="BF33" i="17"/>
  <c r="BE21" i="28"/>
  <c r="BE22" i="28" s="1"/>
  <c r="Y21" i="29"/>
  <c r="AZ66" i="20"/>
  <c r="AZ68" i="20" s="1"/>
  <c r="BF15" i="31"/>
  <c r="BG28" i="15"/>
  <c r="BF49" i="19"/>
  <c r="BF51" i="19" s="1"/>
  <c r="BF36" i="19" s="1"/>
  <c r="BG37" i="19" s="1"/>
  <c r="BF30" i="19"/>
  <c r="BF32" i="19" s="1"/>
  <c r="BF32" i="13"/>
  <c r="BF9" i="31" s="1"/>
  <c r="BG28" i="13"/>
  <c r="BF20" i="20"/>
  <c r="BF21" i="20" s="1"/>
  <c r="BF34" i="20" s="1"/>
  <c r="BF14" i="20"/>
  <c r="BF15" i="20" s="1"/>
  <c r="AY23" i="9"/>
  <c r="P21" i="33"/>
  <c r="W21" i="32"/>
  <c r="BL18" i="34"/>
  <c r="AX12" i="9"/>
  <c r="AX13" i="9" s="1"/>
  <c r="BG10" i="37"/>
  <c r="BG24" i="12"/>
  <c r="BG26" i="12" s="1"/>
  <c r="BG31" i="12" s="1"/>
  <c r="BG33" i="12" s="1"/>
  <c r="BH20" i="10"/>
  <c r="BG16" i="37"/>
  <c r="BG63" i="12"/>
  <c r="BG65" i="12" s="1"/>
  <c r="BG71" i="12"/>
  <c r="BG73" i="12" s="1"/>
  <c r="AY15" i="34"/>
  <c r="W12" i="35"/>
  <c r="BH14" i="16"/>
  <c r="BH28" i="16"/>
  <c r="BF27" i="18"/>
  <c r="BF28" i="18" s="1"/>
  <c r="BF40" i="18"/>
  <c r="BF41" i="18" s="1"/>
  <c r="BF39" i="16"/>
  <c r="BF40" i="16" s="1"/>
  <c r="BE37" i="9" l="1"/>
  <c r="BE38" i="9" s="1"/>
  <c r="Y22" i="29"/>
  <c r="BH20" i="34"/>
  <c r="Z20" i="35"/>
  <c r="BG15" i="37"/>
  <c r="BH60" i="12"/>
  <c r="BF19" i="31"/>
  <c r="BG29" i="19"/>
  <c r="BH28" i="10"/>
  <c r="BG38" i="19"/>
  <c r="BG31" i="19"/>
  <c r="BF48" i="17"/>
  <c r="BF34" i="17"/>
  <c r="BF35" i="17" s="1"/>
  <c r="BF13" i="17" s="1"/>
  <c r="BF15" i="17" s="1"/>
  <c r="BG21" i="19"/>
  <c r="BG21" i="15"/>
  <c r="BI22" i="15" s="1"/>
  <c r="BG43" i="15"/>
  <c r="BG45" i="15" s="1"/>
  <c r="BG11" i="37"/>
  <c r="BG20" i="17"/>
  <c r="BG22" i="17" s="1"/>
  <c r="BG13" i="15"/>
  <c r="BG14" i="15" s="1"/>
  <c r="BG21" i="13"/>
  <c r="BG23" i="13" s="1"/>
  <c r="BG39" i="12"/>
  <c r="BM41" i="12" s="1"/>
  <c r="BG48" i="12"/>
  <c r="BG50" i="12" s="1"/>
  <c r="BG17" i="9"/>
  <c r="BG18" i="9" s="1"/>
  <c r="BF16" i="28"/>
  <c r="BG17" i="37"/>
  <c r="BH70" i="12"/>
  <c r="BG17" i="11"/>
  <c r="BG18" i="11" s="1"/>
  <c r="BF45" i="16"/>
  <c r="BF46" i="16" s="1"/>
  <c r="BF41" i="16"/>
  <c r="BF32" i="16"/>
  <c r="AY26" i="34"/>
  <c r="W15" i="35"/>
  <c r="BF39" i="20"/>
  <c r="BF25" i="20"/>
  <c r="BF27" i="20" s="1"/>
  <c r="BF29" i="18"/>
  <c r="BF14" i="18"/>
  <c r="BF46" i="18"/>
  <c r="BF47" i="18" s="1"/>
  <c r="BF42" i="18"/>
  <c r="BF33" i="18"/>
  <c r="AX11" i="31"/>
  <c r="AX12" i="31" s="1"/>
  <c r="AX22" i="9" s="1"/>
  <c r="AX24" i="9" s="1"/>
  <c r="AX9" i="8"/>
  <c r="AY11" i="9"/>
  <c r="AZ77" i="20"/>
  <c r="AZ78" i="20" s="1"/>
  <c r="AZ69" i="20"/>
  <c r="BI8" i="34" l="1"/>
  <c r="BI44" i="15"/>
  <c r="BF16" i="31"/>
  <c r="BG11" i="17"/>
  <c r="BG12" i="37"/>
  <c r="BH47" i="12"/>
  <c r="BG12" i="13"/>
  <c r="BG13" i="13" s="1"/>
  <c r="BG29" i="15"/>
  <c r="BG10" i="12"/>
  <c r="BG11" i="12" s="1"/>
  <c r="BF18" i="28"/>
  <c r="BF19" i="28" s="1"/>
  <c r="BM13" i="37"/>
  <c r="BM20" i="18"/>
  <c r="BM22" i="18" s="1"/>
  <c r="BM61" i="12"/>
  <c r="BM49" i="12"/>
  <c r="BG48" i="19"/>
  <c r="BG8" i="31"/>
  <c r="BH20" i="13"/>
  <c r="BF23" i="34"/>
  <c r="AX23" i="31"/>
  <c r="AX15" i="22"/>
  <c r="AX17" i="22" s="1"/>
  <c r="AX21" i="22" s="1"/>
  <c r="AZ11" i="34"/>
  <c r="AZ12" i="34" s="1"/>
  <c r="BF48" i="18"/>
  <c r="BF34" i="18"/>
  <c r="BF35" i="18" s="1"/>
  <c r="BF13" i="18" s="1"/>
  <c r="BF15" i="18" s="1"/>
  <c r="BF17" i="28"/>
  <c r="AZ20" i="31"/>
  <c r="AZ21" i="31" s="1"/>
  <c r="AZ23" i="9" s="1"/>
  <c r="BA75" i="20"/>
  <c r="BF47" i="16"/>
  <c r="BF33" i="16"/>
  <c r="BF34" i="16" s="1"/>
  <c r="BF13" i="16" s="1"/>
  <c r="BF15" i="16" s="1"/>
  <c r="BG32" i="15"/>
  <c r="BG15" i="15"/>
  <c r="BG17" i="34"/>
  <c r="BG27" i="17"/>
  <c r="BM28" i="17" s="1"/>
  <c r="BG12" i="17"/>
  <c r="BG10" i="34"/>
  <c r="BG10" i="31"/>
  <c r="BH41" i="15"/>
  <c r="AY29" i="34"/>
  <c r="W26" i="35"/>
  <c r="BF22" i="34"/>
  <c r="BF35" i="20"/>
  <c r="BF36" i="20" s="1"/>
  <c r="BG33" i="20" s="1"/>
  <c r="BF40" i="20"/>
  <c r="BF41" i="20" s="1"/>
  <c r="BF46" i="20" s="1"/>
  <c r="BF47" i="20" s="1"/>
  <c r="BE25" i="31"/>
  <c r="BF36" i="9"/>
  <c r="BE28" i="9"/>
  <c r="BE30" i="9" s="1"/>
  <c r="Q25" i="33"/>
  <c r="Y25" i="32"/>
  <c r="M25" i="24"/>
  <c r="BG8" i="28"/>
  <c r="BG11" i="28" s="1"/>
  <c r="BG19" i="16"/>
  <c r="BG21" i="16" s="1"/>
  <c r="BG26" i="11"/>
  <c r="BG27" i="11" s="1"/>
  <c r="BH27" i="10"/>
  <c r="BH29" i="10" s="1"/>
  <c r="BF48" i="20" l="1"/>
  <c r="BF81" i="20"/>
  <c r="BF76" i="20"/>
  <c r="BF82" i="20"/>
  <c r="AY12" i="9"/>
  <c r="AY13" i="9" s="1"/>
  <c r="W29" i="35"/>
  <c r="BH53" i="12"/>
  <c r="BH54" i="12" s="1"/>
  <c r="BH11" i="11"/>
  <c r="BH12" i="11" s="1"/>
  <c r="BH23" i="10"/>
  <c r="BH24" i="10" s="1"/>
  <c r="BG26" i="20"/>
  <c r="BA66" i="20"/>
  <c r="BA68" i="20" s="1"/>
  <c r="BF18" i="31"/>
  <c r="BG11" i="18"/>
  <c r="BG40" i="17"/>
  <c r="BG41" i="17" s="1"/>
  <c r="BG9" i="20"/>
  <c r="BG10" i="20" s="1"/>
  <c r="BF24" i="34"/>
  <c r="BH11" i="13"/>
  <c r="BM21" i="34"/>
  <c r="BM12" i="18"/>
  <c r="BG9" i="19"/>
  <c r="BG11" i="19" s="1"/>
  <c r="BG22" i="19" s="1"/>
  <c r="BG23" i="19" s="1"/>
  <c r="BG30" i="15"/>
  <c r="BG36" i="15" s="1"/>
  <c r="BM29" i="17"/>
  <c r="BM14" i="17"/>
  <c r="AZ15" i="34"/>
  <c r="BF17" i="31"/>
  <c r="BG11" i="16"/>
  <c r="BG14" i="34"/>
  <c r="BG29" i="13"/>
  <c r="BG31" i="13" s="1"/>
  <c r="BG14" i="13"/>
  <c r="BF25" i="34"/>
  <c r="BE27" i="31"/>
  <c r="BE16" i="22"/>
  <c r="Y27" i="32"/>
  <c r="Q27" i="33"/>
  <c r="M27" i="24"/>
  <c r="BG14" i="31"/>
  <c r="BH24" i="11"/>
  <c r="BH25" i="12"/>
  <c r="BG19" i="34"/>
  <c r="BG26" i="16"/>
  <c r="BI27" i="16" s="1"/>
  <c r="BG12" i="16"/>
  <c r="BG20" i="20" l="1"/>
  <c r="BG21" i="20" s="1"/>
  <c r="BG34" i="20" s="1"/>
  <c r="BG14" i="20"/>
  <c r="BG15" i="20" s="1"/>
  <c r="BG32" i="13"/>
  <c r="BG9" i="31" s="1"/>
  <c r="BH28" i="13"/>
  <c r="BG15" i="31"/>
  <c r="BH28" i="15"/>
  <c r="BG49" i="19"/>
  <c r="BG51" i="19" s="1"/>
  <c r="BG36" i="19" s="1"/>
  <c r="BH37" i="19" s="1"/>
  <c r="BG30" i="19"/>
  <c r="BG32" i="19" s="1"/>
  <c r="BG46" i="17"/>
  <c r="BG47" i="17" s="1"/>
  <c r="BG42" i="17"/>
  <c r="BG33" i="17"/>
  <c r="BH10" i="37"/>
  <c r="BH24" i="12"/>
  <c r="BH26" i="12" s="1"/>
  <c r="BH31" i="12" s="1"/>
  <c r="BH33" i="12" s="1"/>
  <c r="BI20" i="10"/>
  <c r="Z10" i="38"/>
  <c r="BG27" i="18"/>
  <c r="BG28" i="18" s="1"/>
  <c r="BG40" i="18"/>
  <c r="BG41" i="18" s="1"/>
  <c r="BH16" i="19"/>
  <c r="BH17" i="19" s="1"/>
  <c r="BH42" i="15"/>
  <c r="BH20" i="15"/>
  <c r="BH25" i="11"/>
  <c r="AZ26" i="34"/>
  <c r="BH16" i="37"/>
  <c r="BH63" i="12"/>
  <c r="BH65" i="12" s="1"/>
  <c r="BH71" i="12"/>
  <c r="BH73" i="12" s="1"/>
  <c r="Z16" i="38"/>
  <c r="BG13" i="28"/>
  <c r="BG14" i="28" s="1"/>
  <c r="BI14" i="16"/>
  <c r="BI28" i="16"/>
  <c r="BG39" i="16"/>
  <c r="BG40" i="16" s="1"/>
  <c r="BM18" i="34"/>
  <c r="BA77" i="20"/>
  <c r="BA78" i="20" s="1"/>
  <c r="BA69" i="20"/>
  <c r="AY11" i="31"/>
  <c r="AY12" i="31" s="1"/>
  <c r="AZ11" i="9"/>
  <c r="AY9" i="8"/>
  <c r="P11" i="33"/>
  <c r="W11" i="32"/>
  <c r="BF21" i="28"/>
  <c r="BF22" i="28" s="1"/>
  <c r="BA20" i="31" l="1"/>
  <c r="BA21" i="31" s="1"/>
  <c r="BA23" i="9" s="1"/>
  <c r="BB75" i="20"/>
  <c r="BI28" i="10"/>
  <c r="BH11" i="37"/>
  <c r="BH20" i="17"/>
  <c r="BH22" i="17" s="1"/>
  <c r="BH13" i="15"/>
  <c r="BH14" i="15" s="1"/>
  <c r="BH21" i="13"/>
  <c r="BH23" i="13" s="1"/>
  <c r="BH48" i="12"/>
  <c r="BH50" i="12" s="1"/>
  <c r="BH39" i="12"/>
  <c r="BN41" i="12" s="1"/>
  <c r="BH17" i="9"/>
  <c r="BH18" i="9" s="1"/>
  <c r="Z11" i="38"/>
  <c r="BH17" i="37"/>
  <c r="BI70" i="12"/>
  <c r="BH17" i="11"/>
  <c r="BH18" i="11" s="1"/>
  <c r="Z17" i="38"/>
  <c r="BA11" i="34"/>
  <c r="BA12" i="34" s="1"/>
  <c r="AZ29" i="34"/>
  <c r="BF37" i="9"/>
  <c r="BF38" i="9" s="1"/>
  <c r="BH15" i="37"/>
  <c r="BI60" i="12"/>
  <c r="Z15" i="38"/>
  <c r="BH21" i="19"/>
  <c r="BH43" i="15"/>
  <c r="BH45" i="15" s="1"/>
  <c r="BH21" i="15"/>
  <c r="BJ22" i="15" s="1"/>
  <c r="BG16" i="28"/>
  <c r="BG39" i="20"/>
  <c r="BG25" i="20"/>
  <c r="BG27" i="20" s="1"/>
  <c r="BG42" i="18"/>
  <c r="BG33" i="18"/>
  <c r="BG46" i="18"/>
  <c r="BG47" i="18" s="1"/>
  <c r="BG48" i="17"/>
  <c r="BG34" i="17"/>
  <c r="BG35" i="17" s="1"/>
  <c r="BG13" i="17" s="1"/>
  <c r="BG15" i="17" s="1"/>
  <c r="BH38" i="19"/>
  <c r="BH31" i="19"/>
  <c r="BG41" i="16"/>
  <c r="BG45" i="16"/>
  <c r="BG46" i="16" s="1"/>
  <c r="BG32" i="16"/>
  <c r="AY22" i="9"/>
  <c r="AY24" i="9" s="1"/>
  <c r="W12" i="32"/>
  <c r="P12" i="33"/>
  <c r="BI20" i="34"/>
  <c r="BG14" i="18"/>
  <c r="BG29" i="18"/>
  <c r="BG19" i="31"/>
  <c r="BH29" i="19"/>
  <c r="BH10" i="31" l="1"/>
  <c r="BI41" i="15"/>
  <c r="Z10" i="32"/>
  <c r="BJ8" i="34"/>
  <c r="BJ44" i="15"/>
  <c r="BG18" i="28"/>
  <c r="BG16" i="31"/>
  <c r="BH11" i="17"/>
  <c r="BA15" i="34"/>
  <c r="BG22" i="34"/>
  <c r="BG40" i="20"/>
  <c r="BG35" i="20"/>
  <c r="BG36" i="20" s="1"/>
  <c r="BH33" i="20" s="1"/>
  <c r="BH10" i="34"/>
  <c r="Z10" i="35"/>
  <c r="BG41" i="20"/>
  <c r="BG46" i="20" s="1"/>
  <c r="BG47" i="20" s="1"/>
  <c r="BF25" i="31"/>
  <c r="BF28" i="9"/>
  <c r="BF30" i="9" s="1"/>
  <c r="BG36" i="9"/>
  <c r="BH29" i="15"/>
  <c r="BH10" i="12"/>
  <c r="BH11" i="12" s="1"/>
  <c r="BG17" i="28"/>
  <c r="BG19" i="28" s="1"/>
  <c r="BN13" i="37"/>
  <c r="BN20" i="18"/>
  <c r="BN22" i="18" s="1"/>
  <c r="BN61" i="12"/>
  <c r="BN49" i="12"/>
  <c r="AB13" i="38"/>
  <c r="BH8" i="28"/>
  <c r="BH11" i="28" s="1"/>
  <c r="BH19" i="16"/>
  <c r="BH21" i="16" s="1"/>
  <c r="BH26" i="11"/>
  <c r="BH27" i="11" s="1"/>
  <c r="Z8" i="29"/>
  <c r="BH12" i="37"/>
  <c r="BH12" i="13"/>
  <c r="BH13" i="13" s="1"/>
  <c r="BI47" i="12"/>
  <c r="Z12" i="38"/>
  <c r="BG23" i="34"/>
  <c r="BI27" i="10"/>
  <c r="BI29" i="10" s="1"/>
  <c r="AZ12" i="9"/>
  <c r="AZ13" i="9" s="1"/>
  <c r="BH8" i="31"/>
  <c r="BI20" i="13"/>
  <c r="Z8" i="32"/>
  <c r="BB66" i="20"/>
  <c r="BB68" i="20" s="1"/>
  <c r="BH17" i="34"/>
  <c r="BH27" i="17"/>
  <c r="BN28" i="17" s="1"/>
  <c r="BH12" i="17"/>
  <c r="Z17" i="35"/>
  <c r="AY23" i="31"/>
  <c r="AY15" i="22"/>
  <c r="AY17" i="22" s="1"/>
  <c r="AY21" i="22" s="1"/>
  <c r="P23" i="33"/>
  <c r="W23" i="32"/>
  <c r="BH48" i="19"/>
  <c r="BG47" i="16"/>
  <c r="BG33" i="16"/>
  <c r="BG34" i="16" s="1"/>
  <c r="BG13" i="16" s="1"/>
  <c r="BG15" i="16" s="1"/>
  <c r="BG48" i="18"/>
  <c r="BG34" i="18"/>
  <c r="BG35" i="18" s="1"/>
  <c r="BG13" i="18" s="1"/>
  <c r="BG15" i="18" s="1"/>
  <c r="BH15" i="15"/>
  <c r="BH32" i="15"/>
  <c r="BG17" i="31" l="1"/>
  <c r="BH11" i="16"/>
  <c r="BN14" i="17"/>
  <c r="BN29" i="17"/>
  <c r="BH9" i="19"/>
  <c r="BH11" i="19" s="1"/>
  <c r="BH22" i="19" s="1"/>
  <c r="BH23" i="19" s="1"/>
  <c r="BH30" i="15"/>
  <c r="BH36" i="15" s="1"/>
  <c r="BH14" i="34"/>
  <c r="Z14" i="35"/>
  <c r="BG82" i="20"/>
  <c r="BN21" i="34"/>
  <c r="BN12" i="18"/>
  <c r="AB21" i="35"/>
  <c r="BH19" i="34"/>
  <c r="BH12" i="16"/>
  <c r="BH26" i="16"/>
  <c r="BJ27" i="16" s="1"/>
  <c r="Z19" i="35"/>
  <c r="BH26" i="20"/>
  <c r="BA26" i="34"/>
  <c r="BG24" i="34"/>
  <c r="BH14" i="31"/>
  <c r="BI24" i="11"/>
  <c r="Z14" i="32"/>
  <c r="AZ11" i="31"/>
  <c r="AZ12" i="31" s="1"/>
  <c r="AZ22" i="9" s="1"/>
  <c r="AZ24" i="9" s="1"/>
  <c r="AZ9" i="8"/>
  <c r="BA11" i="9"/>
  <c r="BG25" i="34"/>
  <c r="BB77" i="20"/>
  <c r="BB78" i="20" s="1"/>
  <c r="BB69" i="20"/>
  <c r="BI25" i="12"/>
  <c r="BH9" i="20"/>
  <c r="BH10" i="20" s="1"/>
  <c r="Z11" i="29"/>
  <c r="BF27" i="31"/>
  <c r="BF16" i="22"/>
  <c r="BH40" i="17"/>
  <c r="BH41" i="17" s="1"/>
  <c r="BI53" i="12"/>
  <c r="BI54" i="12" s="1"/>
  <c r="BI11" i="11"/>
  <c r="BI12" i="11" s="1"/>
  <c r="BI23" i="10"/>
  <c r="BI24" i="10" s="1"/>
  <c r="BH29" i="13"/>
  <c r="BH31" i="13" s="1"/>
  <c r="BH14" i="13"/>
  <c r="BG18" i="31"/>
  <c r="BH11" i="18"/>
  <c r="BI11" i="13"/>
  <c r="BG76" i="20"/>
  <c r="BG48" i="20"/>
  <c r="BG81" i="20"/>
  <c r="BH15" i="31" l="1"/>
  <c r="BI28" i="15"/>
  <c r="Z15" i="32"/>
  <c r="BA29" i="34"/>
  <c r="BH27" i="18"/>
  <c r="BH28" i="18" s="1"/>
  <c r="BH40" i="18"/>
  <c r="BH41" i="18" s="1"/>
  <c r="BH33" i="17"/>
  <c r="BH42" i="17"/>
  <c r="BH46" i="17"/>
  <c r="BH47" i="17" s="1"/>
  <c r="BH49" i="19"/>
  <c r="BH51" i="19" s="1"/>
  <c r="BH36" i="19" s="1"/>
  <c r="BI37" i="19" s="1"/>
  <c r="BH30" i="19"/>
  <c r="BH32" i="19" s="1"/>
  <c r="BJ14" i="16"/>
  <c r="BJ28" i="16"/>
  <c r="BN18" i="34"/>
  <c r="AB18" i="35"/>
  <c r="BH14" i="20"/>
  <c r="BH15" i="20" s="1"/>
  <c r="BH20" i="20"/>
  <c r="BH21" i="20" s="1"/>
  <c r="BH34" i="20" s="1"/>
  <c r="BH13" i="28"/>
  <c r="BH14" i="28" s="1"/>
  <c r="Z13" i="29"/>
  <c r="BG21" i="28"/>
  <c r="BG22" i="28" s="1"/>
  <c r="BH32" i="13"/>
  <c r="BI28" i="13"/>
  <c r="BB11" i="34"/>
  <c r="BB12" i="34" s="1"/>
  <c r="X11" i="35"/>
  <c r="AZ23" i="31"/>
  <c r="AZ15" i="22"/>
  <c r="AZ17" i="22" s="1"/>
  <c r="AZ21" i="22" s="1"/>
  <c r="BI16" i="37"/>
  <c r="BI71" i="12"/>
  <c r="BI73" i="12" s="1"/>
  <c r="BI63" i="12"/>
  <c r="BI65" i="12" s="1"/>
  <c r="BI10" i="37"/>
  <c r="BJ20" i="10"/>
  <c r="BI24" i="12"/>
  <c r="BI26" i="12" s="1"/>
  <c r="BI31" i="12" s="1"/>
  <c r="BI33" i="12" s="1"/>
  <c r="BB20" i="31"/>
  <c r="BB21" i="31" s="1"/>
  <c r="BC75" i="20"/>
  <c r="X20" i="32"/>
  <c r="BH39" i="16"/>
  <c r="BH40" i="16" s="1"/>
  <c r="BI16" i="19"/>
  <c r="BI17" i="19" s="1"/>
  <c r="BI42" i="15"/>
  <c r="BI20" i="15"/>
  <c r="BI25" i="11"/>
  <c r="BI11" i="37" l="1"/>
  <c r="BI20" i="17"/>
  <c r="BI22" i="17" s="1"/>
  <c r="BI13" i="15"/>
  <c r="BI14" i="15" s="1"/>
  <c r="BI39" i="12"/>
  <c r="BO41" i="12" s="1"/>
  <c r="BI48" i="12"/>
  <c r="BI50" i="12" s="1"/>
  <c r="BI21" i="13"/>
  <c r="BI23" i="13" s="1"/>
  <c r="BI17" i="9"/>
  <c r="BI18" i="9" s="1"/>
  <c r="BH19" i="31"/>
  <c r="BI29" i="19"/>
  <c r="Z19" i="32"/>
  <c r="BH14" i="18"/>
  <c r="BH29" i="18"/>
  <c r="Z14" i="29"/>
  <c r="BH46" i="18"/>
  <c r="BH47" i="18" s="1"/>
  <c r="BH33" i="18"/>
  <c r="BH42" i="18"/>
  <c r="BI21" i="19"/>
  <c r="BI21" i="15"/>
  <c r="BI43" i="15"/>
  <c r="BI45" i="15" s="1"/>
  <c r="BJ28" i="10"/>
  <c r="BH39" i="20"/>
  <c r="BH25" i="20"/>
  <c r="BH27" i="20" s="1"/>
  <c r="BI38" i="19"/>
  <c r="BI31" i="19"/>
  <c r="BI17" i="37"/>
  <c r="BJ70" i="12"/>
  <c r="BI17" i="11"/>
  <c r="BI18" i="11" s="1"/>
  <c r="BG37" i="9"/>
  <c r="BG38" i="9" s="1"/>
  <c r="BH34" i="17"/>
  <c r="BH35" i="17" s="1"/>
  <c r="BH13" i="17" s="1"/>
  <c r="BH15" i="17" s="1"/>
  <c r="BH48" i="17"/>
  <c r="BA12" i="9"/>
  <c r="BA13" i="9" s="1"/>
  <c r="BH16" i="28"/>
  <c r="Z16" i="29"/>
  <c r="BK22" i="15"/>
  <c r="BH9" i="31"/>
  <c r="Z9" i="32"/>
  <c r="BH45" i="16"/>
  <c r="BH46" i="16" s="1"/>
  <c r="BH32" i="16"/>
  <c r="BH41" i="16"/>
  <c r="BJ20" i="34"/>
  <c r="BB23" i="9"/>
  <c r="X21" i="32"/>
  <c r="BB15" i="34"/>
  <c r="X12" i="35"/>
  <c r="BC66" i="20"/>
  <c r="BC68" i="20" s="1"/>
  <c r="BI15" i="37"/>
  <c r="BJ60" i="12"/>
  <c r="BI10" i="34" l="1"/>
  <c r="BI10" i="31"/>
  <c r="BJ41" i="15"/>
  <c r="BH22" i="34"/>
  <c r="Z22" i="35"/>
  <c r="BH40" i="20"/>
  <c r="BH41" i="20" s="1"/>
  <c r="BH46" i="20" s="1"/>
  <c r="BH47" i="20" s="1"/>
  <c r="BH35" i="20"/>
  <c r="BH36" i="20" s="1"/>
  <c r="BI33" i="20" s="1"/>
  <c r="BH18" i="28"/>
  <c r="Z18" i="29"/>
  <c r="BI29" i="15"/>
  <c r="BI10" i="12"/>
  <c r="BI11" i="12" s="1"/>
  <c r="BI8" i="31"/>
  <c r="BJ20" i="13"/>
  <c r="BH47" i="16"/>
  <c r="BH33" i="16"/>
  <c r="BH34" i="16" s="1"/>
  <c r="BH13" i="16" s="1"/>
  <c r="BH15" i="16" s="1"/>
  <c r="BG25" i="31"/>
  <c r="BH36" i="9"/>
  <c r="BG28" i="9"/>
  <c r="BG30" i="9" s="1"/>
  <c r="BH48" i="18"/>
  <c r="BH34" i="18"/>
  <c r="BH35" i="18" s="1"/>
  <c r="BH13" i="18" s="1"/>
  <c r="BH15" i="18" s="1"/>
  <c r="BI48" i="19"/>
  <c r="BI12" i="37"/>
  <c r="BI12" i="13"/>
  <c r="BI13" i="13" s="1"/>
  <c r="BJ47" i="12"/>
  <c r="BH17" i="28"/>
  <c r="Z17" i="29"/>
  <c r="BI8" i="28"/>
  <c r="BI11" i="28" s="1"/>
  <c r="BI19" i="16"/>
  <c r="BI21" i="16" s="1"/>
  <c r="BI26" i="11"/>
  <c r="BI27" i="11" s="1"/>
  <c r="BO13" i="37"/>
  <c r="BO20" i="18"/>
  <c r="BO22" i="18" s="1"/>
  <c r="BO61" i="12"/>
  <c r="BO49" i="12"/>
  <c r="BB26" i="34"/>
  <c r="X15" i="35"/>
  <c r="BJ27" i="10"/>
  <c r="BJ29" i="10" s="1"/>
  <c r="BA11" i="31"/>
  <c r="BA12" i="31" s="1"/>
  <c r="BA22" i="9" s="1"/>
  <c r="BA24" i="9" s="1"/>
  <c r="BA9" i="8"/>
  <c r="BB11" i="9"/>
  <c r="BI32" i="15"/>
  <c r="BI15" i="15"/>
  <c r="BH16" i="31"/>
  <c r="BI11" i="17"/>
  <c r="Z16" i="32"/>
  <c r="BK8" i="34"/>
  <c r="BK44" i="15"/>
  <c r="AA8" i="35"/>
  <c r="BH23" i="34"/>
  <c r="Z23" i="35"/>
  <c r="BI17" i="34"/>
  <c r="BI27" i="17"/>
  <c r="BO28" i="17" s="1"/>
  <c r="BI12" i="17"/>
  <c r="BC69" i="20"/>
  <c r="BC77" i="20"/>
  <c r="BC78" i="20" s="1"/>
  <c r="BH19" i="28" l="1"/>
  <c r="BH18" i="31"/>
  <c r="BI11" i="18"/>
  <c r="Z18" i="32"/>
  <c r="BH82" i="20"/>
  <c r="Z19" i="29"/>
  <c r="BI14" i="34"/>
  <c r="BJ53" i="12"/>
  <c r="BJ54" i="12" s="1"/>
  <c r="BJ11" i="11"/>
  <c r="BJ12" i="11" s="1"/>
  <c r="BJ23" i="10"/>
  <c r="BJ24" i="10" s="1"/>
  <c r="BO21" i="34"/>
  <c r="BO12" i="18"/>
  <c r="BH17" i="31"/>
  <c r="BI11" i="16"/>
  <c r="Z17" i="32"/>
  <c r="BH24" i="34"/>
  <c r="Z24" i="35"/>
  <c r="BJ11" i="13"/>
  <c r="BB29" i="34"/>
  <c r="X26" i="35"/>
  <c r="BH25" i="34"/>
  <c r="Z25" i="35"/>
  <c r="BI26" i="20"/>
  <c r="BG27" i="31"/>
  <c r="BG16" i="22"/>
  <c r="BH81" i="20"/>
  <c r="BH76" i="20"/>
  <c r="BH48" i="20"/>
  <c r="BO14" i="17"/>
  <c r="BO29" i="17"/>
  <c r="BI14" i="31"/>
  <c r="BJ24" i="11"/>
  <c r="BJ25" i="12"/>
  <c r="BI9" i="19"/>
  <c r="BI11" i="19" s="1"/>
  <c r="BI22" i="19" s="1"/>
  <c r="BI23" i="19" s="1"/>
  <c r="BI30" i="15"/>
  <c r="BA23" i="31"/>
  <c r="BA15" i="22"/>
  <c r="BA17" i="22" s="1"/>
  <c r="BA21" i="22" s="1"/>
  <c r="BC20" i="31"/>
  <c r="BC21" i="31" s="1"/>
  <c r="BC23" i="9" s="1"/>
  <c r="BD75" i="20"/>
  <c r="BI40" i="17"/>
  <c r="BI41" i="17" s="1"/>
  <c r="BI19" i="34"/>
  <c r="BI26" i="16"/>
  <c r="BK27" i="16" s="1"/>
  <c r="BI12" i="16"/>
  <c r="BI29" i="13"/>
  <c r="BI31" i="13" s="1"/>
  <c r="BI14" i="13"/>
  <c r="BI36" i="15"/>
  <c r="BC11" i="34"/>
  <c r="BC12" i="34" s="1"/>
  <c r="BI9" i="20"/>
  <c r="BI10" i="20" s="1"/>
  <c r="BB12" i="9" l="1"/>
  <c r="BB13" i="9" s="1"/>
  <c r="X29" i="35"/>
  <c r="BK28" i="16"/>
  <c r="BK14" i="16"/>
  <c r="BO18" i="34"/>
  <c r="BJ10" i="37"/>
  <c r="BK20" i="10"/>
  <c r="BJ24" i="12"/>
  <c r="BJ26" i="12" s="1"/>
  <c r="BJ31" i="12" s="1"/>
  <c r="BJ33" i="12" s="1"/>
  <c r="BJ16" i="19"/>
  <c r="BJ17" i="19" s="1"/>
  <c r="BJ42" i="15"/>
  <c r="BJ20" i="15"/>
  <c r="BJ25" i="11"/>
  <c r="BI15" i="31"/>
  <c r="BJ28" i="15"/>
  <c r="BI13" i="28"/>
  <c r="BI14" i="28" s="1"/>
  <c r="BI49" i="19"/>
  <c r="BI51" i="19" s="1"/>
  <c r="BI36" i="19" s="1"/>
  <c r="BJ37" i="19" s="1"/>
  <c r="BI30" i="19"/>
  <c r="BI32" i="19" s="1"/>
  <c r="BH21" i="28"/>
  <c r="BH22" i="28" s="1"/>
  <c r="Z21" i="29"/>
  <c r="BI39" i="16"/>
  <c r="BI40" i="16" s="1"/>
  <c r="BJ16" i="37"/>
  <c r="BJ71" i="12"/>
  <c r="BJ73" i="12" s="1"/>
  <c r="BJ63" i="12"/>
  <c r="BJ65" i="12" s="1"/>
  <c r="BI14" i="20"/>
  <c r="BI15" i="20" s="1"/>
  <c r="BI20" i="20"/>
  <c r="BI21" i="20" s="1"/>
  <c r="BI34" i="20" s="1"/>
  <c r="BJ28" i="13"/>
  <c r="BI32" i="13"/>
  <c r="BI9" i="31" s="1"/>
  <c r="BI33" i="17"/>
  <c r="BI46" i="17"/>
  <c r="BI47" i="17" s="1"/>
  <c r="BI42" i="17"/>
  <c r="BD66" i="20"/>
  <c r="BD68" i="20" s="1"/>
  <c r="BI27" i="18"/>
  <c r="BI28" i="18" s="1"/>
  <c r="BI40" i="18"/>
  <c r="BI41" i="18" s="1"/>
  <c r="BC15" i="34"/>
  <c r="BC26" i="34" l="1"/>
  <c r="BI34" i="17"/>
  <c r="BI35" i="17" s="1"/>
  <c r="BI13" i="17" s="1"/>
  <c r="BI15" i="17" s="1"/>
  <c r="BI48" i="17"/>
  <c r="BJ17" i="37"/>
  <c r="BK70" i="12"/>
  <c r="BJ17" i="11"/>
  <c r="BJ18" i="11" s="1"/>
  <c r="BI19" i="31"/>
  <c r="BJ29" i="19"/>
  <c r="BJ31" i="19"/>
  <c r="BJ38" i="19"/>
  <c r="BJ45" i="15"/>
  <c r="BI29" i="18"/>
  <c r="BI14" i="18"/>
  <c r="BI45" i="16"/>
  <c r="BI46" i="16" s="1"/>
  <c r="BI32" i="16"/>
  <c r="BI41" i="16"/>
  <c r="BJ21" i="19"/>
  <c r="BJ43" i="15"/>
  <c r="BJ21" i="15"/>
  <c r="BL22" i="15" s="1"/>
  <c r="BK20" i="34"/>
  <c r="AA20" i="35"/>
  <c r="BJ11" i="37"/>
  <c r="BJ20" i="17"/>
  <c r="BJ22" i="17" s="1"/>
  <c r="BJ13" i="15"/>
  <c r="BJ14" i="15" s="1"/>
  <c r="BJ21" i="13"/>
  <c r="BJ23" i="13" s="1"/>
  <c r="BJ48" i="12"/>
  <c r="BJ50" i="12" s="1"/>
  <c r="BJ39" i="12"/>
  <c r="BP41" i="12" s="1"/>
  <c r="BJ17" i="9"/>
  <c r="BJ18" i="9" s="1"/>
  <c r="BI39" i="20"/>
  <c r="BI25" i="20"/>
  <c r="BI27" i="20" s="1"/>
  <c r="BK28" i="10"/>
  <c r="BD77" i="20"/>
  <c r="BD78" i="20" s="1"/>
  <c r="BD69" i="20"/>
  <c r="BB11" i="31"/>
  <c r="BB12" i="31" s="1"/>
  <c r="BB9" i="8"/>
  <c r="BC11" i="9"/>
  <c r="X11" i="32"/>
  <c r="BI33" i="18"/>
  <c r="BI42" i="18"/>
  <c r="BI46" i="18"/>
  <c r="BI47" i="18" s="1"/>
  <c r="BI16" i="28"/>
  <c r="BJ15" i="37"/>
  <c r="BK60" i="12"/>
  <c r="BH37" i="9"/>
  <c r="BH38" i="9" s="1"/>
  <c r="Z22" i="29"/>
  <c r="BJ8" i="31" l="1"/>
  <c r="BK20" i="13"/>
  <c r="BJ10" i="31"/>
  <c r="BK41" i="15"/>
  <c r="BI40" i="20"/>
  <c r="BI41" i="20" s="1"/>
  <c r="BI46" i="20" s="1"/>
  <c r="BI47" i="20" s="1"/>
  <c r="BI35" i="20"/>
  <c r="BI36" i="20" s="1"/>
  <c r="BJ33" i="20" s="1"/>
  <c r="BL8" i="34"/>
  <c r="BL44" i="15"/>
  <c r="BJ32" i="15"/>
  <c r="BJ15" i="15"/>
  <c r="BD20" i="31"/>
  <c r="BD21" i="31" s="1"/>
  <c r="BD23" i="9" s="1"/>
  <c r="BE75" i="20"/>
  <c r="BJ10" i="34"/>
  <c r="BI23" i="34"/>
  <c r="BI48" i="18"/>
  <c r="BI34" i="18"/>
  <c r="BI35" i="18" s="1"/>
  <c r="BI13" i="18" s="1"/>
  <c r="BI15" i="18" s="1"/>
  <c r="BD11" i="34"/>
  <c r="BD12" i="34" s="1"/>
  <c r="BI17" i="28"/>
  <c r="BH25" i="31"/>
  <c r="BI36" i="9"/>
  <c r="BH28" i="9"/>
  <c r="BH30" i="9" s="1"/>
  <c r="Z25" i="32"/>
  <c r="BI18" i="28"/>
  <c r="BJ17" i="34"/>
  <c r="BJ12" i="17"/>
  <c r="BJ27" i="17"/>
  <c r="BP28" i="17" s="1"/>
  <c r="BK27" i="10"/>
  <c r="BK29" i="10" s="1"/>
  <c r="BI47" i="16"/>
  <c r="BI33" i="16"/>
  <c r="BI34" i="16" s="1"/>
  <c r="BI13" i="16" s="1"/>
  <c r="BI15" i="16" s="1"/>
  <c r="BI16" i="31"/>
  <c r="BJ11" i="17"/>
  <c r="BJ29" i="15"/>
  <c r="BJ10" i="12"/>
  <c r="BJ11" i="12" s="1"/>
  <c r="BJ48" i="19"/>
  <c r="BP13" i="37"/>
  <c r="BP20" i="18"/>
  <c r="BP22" i="18" s="1"/>
  <c r="BP61" i="12"/>
  <c r="BP49" i="12"/>
  <c r="BI22" i="34"/>
  <c r="BC29" i="34"/>
  <c r="BB22" i="9"/>
  <c r="BB24" i="9" s="1"/>
  <c r="X12" i="32"/>
  <c r="BJ12" i="37"/>
  <c r="BJ12" i="13"/>
  <c r="BJ13" i="13" s="1"/>
  <c r="BK47" i="12"/>
  <c r="BJ8" i="28"/>
  <c r="BJ11" i="28" s="1"/>
  <c r="BJ19" i="16"/>
  <c r="BJ21" i="16" s="1"/>
  <c r="BJ26" i="11"/>
  <c r="BJ27" i="11" s="1"/>
  <c r="BI19" i="28" l="1"/>
  <c r="BI76" i="20"/>
  <c r="BI48" i="20"/>
  <c r="BI81" i="20"/>
  <c r="BI17" i="31"/>
  <c r="BJ11" i="16"/>
  <c r="BI82" i="20"/>
  <c r="BJ14" i="34"/>
  <c r="BK53" i="12"/>
  <c r="BK54" i="12" s="1"/>
  <c r="BK11" i="11"/>
  <c r="BK12" i="11" s="1"/>
  <c r="BK23" i="10"/>
  <c r="BK24" i="10" s="1"/>
  <c r="BJ19" i="34"/>
  <c r="BJ26" i="16"/>
  <c r="BL27" i="16" s="1"/>
  <c r="BJ12" i="16"/>
  <c r="BJ40" i="17"/>
  <c r="BJ41" i="17" s="1"/>
  <c r="BH27" i="31"/>
  <c r="BH16" i="22"/>
  <c r="Z27" i="32"/>
  <c r="BD15" i="34"/>
  <c r="BJ14" i="31"/>
  <c r="BK24" i="11"/>
  <c r="BP29" i="17"/>
  <c r="BP14" i="17"/>
  <c r="BJ9" i="20"/>
  <c r="BJ10" i="20" s="1"/>
  <c r="BC12" i="9"/>
  <c r="BC13" i="9" s="1"/>
  <c r="BP21" i="34"/>
  <c r="BP12" i="18"/>
  <c r="BK11" i="13"/>
  <c r="BK25" i="12"/>
  <c r="BI25" i="34"/>
  <c r="BI18" i="31"/>
  <c r="BJ11" i="18"/>
  <c r="BJ9" i="19"/>
  <c r="BJ11" i="19" s="1"/>
  <c r="BJ22" i="19" s="1"/>
  <c r="BJ23" i="19" s="1"/>
  <c r="BJ30" i="15"/>
  <c r="BJ36" i="15" s="1"/>
  <c r="BB23" i="31"/>
  <c r="BB15" i="22"/>
  <c r="BB17" i="22" s="1"/>
  <c r="BB21" i="22" s="1"/>
  <c r="X23" i="32"/>
  <c r="BJ29" i="13"/>
  <c r="BJ31" i="13" s="1"/>
  <c r="BJ14" i="13"/>
  <c r="BI24" i="34"/>
  <c r="BE66" i="20"/>
  <c r="BE68" i="20" s="1"/>
  <c r="BJ26" i="20"/>
  <c r="BJ15" i="31" l="1"/>
  <c r="BK28" i="15"/>
  <c r="BK10" i="37"/>
  <c r="BK24" i="12"/>
  <c r="BK26" i="12" s="1"/>
  <c r="BK31" i="12" s="1"/>
  <c r="BK33" i="12" s="1"/>
  <c r="BL20" i="10"/>
  <c r="R10" i="39"/>
  <c r="AA10" i="38"/>
  <c r="BJ33" i="17"/>
  <c r="BJ46" i="17"/>
  <c r="BJ47" i="17" s="1"/>
  <c r="BJ42" i="17"/>
  <c r="BK16" i="19"/>
  <c r="BK17" i="19" s="1"/>
  <c r="BK20" i="15"/>
  <c r="BK42" i="15"/>
  <c r="BK25" i="11"/>
  <c r="BC11" i="31"/>
  <c r="BC12" i="31" s="1"/>
  <c r="BC22" i="9" s="1"/>
  <c r="BC24" i="9" s="1"/>
  <c r="BD11" i="9"/>
  <c r="BC9" i="8"/>
  <c r="BK16" i="37"/>
  <c r="BK71" i="12"/>
  <c r="BK73" i="12" s="1"/>
  <c r="BK63" i="12"/>
  <c r="BK65" i="12" s="1"/>
  <c r="AA16" i="38"/>
  <c r="BJ13" i="28"/>
  <c r="BJ14" i="28" s="1"/>
  <c r="BJ39" i="16"/>
  <c r="BJ40" i="16" s="1"/>
  <c r="BJ14" i="20"/>
  <c r="BJ15" i="20" s="1"/>
  <c r="BJ20" i="20"/>
  <c r="BJ21" i="20" s="1"/>
  <c r="BJ34" i="20" s="1"/>
  <c r="BD26" i="34"/>
  <c r="BL14" i="16"/>
  <c r="BL28" i="16"/>
  <c r="BJ30" i="19"/>
  <c r="BJ32" i="19" s="1"/>
  <c r="BJ49" i="19"/>
  <c r="BJ51" i="19" s="1"/>
  <c r="BJ36" i="19" s="1"/>
  <c r="BK37" i="19" s="1"/>
  <c r="BI21" i="28"/>
  <c r="BI22" i="28" s="1"/>
  <c r="BJ32" i="13"/>
  <c r="BJ9" i="31" s="1"/>
  <c r="BK28" i="13"/>
  <c r="BE77" i="20"/>
  <c r="BE78" i="20" s="1"/>
  <c r="BE69" i="20"/>
  <c r="BJ27" i="18"/>
  <c r="BJ28" i="18" s="1"/>
  <c r="BJ40" i="18"/>
  <c r="BJ41" i="18" s="1"/>
  <c r="BP18" i="34"/>
  <c r="BL28" i="10" l="1"/>
  <c r="BK45" i="15"/>
  <c r="BJ33" i="18"/>
  <c r="BJ46" i="18"/>
  <c r="BJ47" i="18" s="1"/>
  <c r="BJ42" i="18"/>
  <c r="BJ29" i="18"/>
  <c r="BJ14" i="18"/>
  <c r="BK21" i="19"/>
  <c r="BK43" i="15"/>
  <c r="BK21" i="15"/>
  <c r="BM22" i="15" s="1"/>
  <c r="BK11" i="37"/>
  <c r="BK20" i="17"/>
  <c r="BK22" i="17" s="1"/>
  <c r="BK13" i="15"/>
  <c r="BK14" i="15" s="1"/>
  <c r="BK21" i="13"/>
  <c r="BK23" i="13" s="1"/>
  <c r="BK39" i="12"/>
  <c r="BQ41" i="12" s="1"/>
  <c r="BK48" i="12"/>
  <c r="BK50" i="12" s="1"/>
  <c r="BK17" i="9"/>
  <c r="BK18" i="9" s="1"/>
  <c r="AA11" i="38"/>
  <c r="BD29" i="34"/>
  <c r="BE11" i="34"/>
  <c r="BE12" i="34" s="1"/>
  <c r="Y11" i="35"/>
  <c r="BJ39" i="20"/>
  <c r="BJ25" i="20"/>
  <c r="BJ27" i="20" s="1"/>
  <c r="BJ16" i="28"/>
  <c r="BI37" i="9"/>
  <c r="BI38" i="9" s="1"/>
  <c r="BE20" i="31"/>
  <c r="BE21" i="31" s="1"/>
  <c r="BF75" i="20"/>
  <c r="M20" i="24"/>
  <c r="Y20" i="32"/>
  <c r="Q20" i="33"/>
  <c r="BJ34" i="17"/>
  <c r="BJ35" i="17" s="1"/>
  <c r="BJ13" i="17" s="1"/>
  <c r="BJ15" i="17" s="1"/>
  <c r="BJ48" i="17"/>
  <c r="BK15" i="37"/>
  <c r="BL60" i="12"/>
  <c r="AA15" i="38"/>
  <c r="R15" i="39"/>
  <c r="BK17" i="37"/>
  <c r="BL70" i="12"/>
  <c r="BK17" i="11"/>
  <c r="BK18" i="11" s="1"/>
  <c r="AA17" i="38"/>
  <c r="R17" i="39"/>
  <c r="BK31" i="19"/>
  <c r="BK38" i="19"/>
  <c r="BJ19" i="31"/>
  <c r="BK29" i="19"/>
  <c r="BJ41" i="16"/>
  <c r="BJ45" i="16"/>
  <c r="BJ46" i="16" s="1"/>
  <c r="BJ32" i="16"/>
  <c r="BL20" i="34"/>
  <c r="BC23" i="31"/>
  <c r="BC15" i="22"/>
  <c r="BC17" i="22" s="1"/>
  <c r="BC21" i="22" s="1"/>
  <c r="BM8" i="34" l="1"/>
  <c r="BM44" i="15"/>
  <c r="BK17" i="34"/>
  <c r="BK27" i="17"/>
  <c r="BQ28" i="17" s="1"/>
  <c r="BK12" i="17"/>
  <c r="AA17" i="35"/>
  <c r="BJ48" i="18"/>
  <c r="BJ34" i="18"/>
  <c r="BJ35" i="18" s="1"/>
  <c r="BJ13" i="18" s="1"/>
  <c r="BJ15" i="18" s="1"/>
  <c r="BF66" i="20"/>
  <c r="BF68" i="20" s="1"/>
  <c r="BD12" i="9"/>
  <c r="BD13" i="9" s="1"/>
  <c r="BE23" i="9"/>
  <c r="Q21" i="33"/>
  <c r="Y21" i="32"/>
  <c r="M21" i="24"/>
  <c r="BK10" i="31"/>
  <c r="BL41" i="15"/>
  <c r="AA10" i="32"/>
  <c r="R10" i="33"/>
  <c r="BJ35" i="20"/>
  <c r="BJ36" i="20" s="1"/>
  <c r="BK33" i="20" s="1"/>
  <c r="BJ40" i="20"/>
  <c r="BJ41" i="20" s="1"/>
  <c r="BJ46" i="20" s="1"/>
  <c r="BJ47" i="20" s="1"/>
  <c r="BK29" i="15"/>
  <c r="BK10" i="12"/>
  <c r="BK11" i="12" s="1"/>
  <c r="BK10" i="34"/>
  <c r="AA10" i="35"/>
  <c r="BL27" i="10"/>
  <c r="BL29" i="10" s="1"/>
  <c r="BJ23" i="34"/>
  <c r="BK12" i="37"/>
  <c r="BK12" i="13"/>
  <c r="BK13" i="13" s="1"/>
  <c r="BL47" i="12"/>
  <c r="R12" i="39"/>
  <c r="AA12" i="38"/>
  <c r="BQ13" i="37"/>
  <c r="BQ20" i="18"/>
  <c r="BQ22" i="18" s="1"/>
  <c r="BQ49" i="12"/>
  <c r="BQ61" i="12"/>
  <c r="K13" i="38"/>
  <c r="J13" i="26"/>
  <c r="J13" i="39"/>
  <c r="L13" i="38"/>
  <c r="H41" i="12"/>
  <c r="N13" i="39"/>
  <c r="L13" i="26"/>
  <c r="O13" i="39"/>
  <c r="P13" i="39"/>
  <c r="M13" i="26"/>
  <c r="Q13" i="39"/>
  <c r="N13" i="26"/>
  <c r="R13" i="39"/>
  <c r="S13" i="39"/>
  <c r="AC13" i="38"/>
  <c r="BJ17" i="28"/>
  <c r="BI25" i="31"/>
  <c r="BJ36" i="9"/>
  <c r="BI28" i="9"/>
  <c r="BI30" i="9" s="1"/>
  <c r="BE15" i="34"/>
  <c r="Y12" i="35"/>
  <c r="BK8" i="31"/>
  <c r="BL20" i="13"/>
  <c r="R8" i="33"/>
  <c r="AA8" i="32"/>
  <c r="BJ22" i="34"/>
  <c r="BJ16" i="31"/>
  <c r="BK11" i="17"/>
  <c r="BJ47" i="16"/>
  <c r="BJ33" i="16"/>
  <c r="BJ34" i="16" s="1"/>
  <c r="BJ13" i="16" s="1"/>
  <c r="BJ15" i="16" s="1"/>
  <c r="BK8" i="28"/>
  <c r="BK11" i="28" s="1"/>
  <c r="BK19" i="16"/>
  <c r="BK21" i="16" s="1"/>
  <c r="BK26" i="11"/>
  <c r="BK27" i="11" s="1"/>
  <c r="AA8" i="29"/>
  <c r="BK48" i="19"/>
  <c r="BK15" i="15"/>
  <c r="BK32" i="15"/>
  <c r="BJ18" i="28"/>
  <c r="BJ19" i="28" l="1"/>
  <c r="BJ82" i="20"/>
  <c r="BJ17" i="31"/>
  <c r="BK11" i="16"/>
  <c r="BJ18" i="31"/>
  <c r="BK11" i="18"/>
  <c r="BL25" i="12"/>
  <c r="BL53" i="12"/>
  <c r="BL54" i="12" s="1"/>
  <c r="BL11" i="11"/>
  <c r="BL12" i="11" s="1"/>
  <c r="BL23" i="10"/>
  <c r="BL24" i="10" s="1"/>
  <c r="BQ29" i="17"/>
  <c r="BQ14" i="17"/>
  <c r="H28" i="17"/>
  <c r="H14" i="17" s="1"/>
  <c r="BL11" i="13"/>
  <c r="BJ24" i="34"/>
  <c r="BK29" i="13"/>
  <c r="BK31" i="13" s="1"/>
  <c r="BK14" i="13"/>
  <c r="BD11" i="31"/>
  <c r="BD12" i="31" s="1"/>
  <c r="BD22" i="9" s="1"/>
  <c r="BD24" i="9" s="1"/>
  <c r="BD9" i="8"/>
  <c r="BE11" i="9"/>
  <c r="BQ21" i="34"/>
  <c r="BQ12" i="18"/>
  <c r="J21" i="36"/>
  <c r="H22" i="18"/>
  <c r="K21" i="35"/>
  <c r="J21" i="25"/>
  <c r="L21" i="35"/>
  <c r="N21" i="36"/>
  <c r="L21" i="25"/>
  <c r="O21" i="36"/>
  <c r="P21" i="36"/>
  <c r="M21" i="25"/>
  <c r="Q21" i="36"/>
  <c r="N21" i="25"/>
  <c r="R21" i="36"/>
  <c r="S21" i="36"/>
  <c r="AC21" i="35"/>
  <c r="BJ76" i="20"/>
  <c r="BJ81" i="20"/>
  <c r="BJ48" i="20"/>
  <c r="BK9" i="19"/>
  <c r="BK11" i="19" s="1"/>
  <c r="BK22" i="19" s="1"/>
  <c r="BK23" i="19" s="1"/>
  <c r="BK30" i="15"/>
  <c r="BF77" i="20"/>
  <c r="BF78" i="20" s="1"/>
  <c r="BF69" i="20"/>
  <c r="BK9" i="20"/>
  <c r="BK10" i="20" s="1"/>
  <c r="AA11" i="29"/>
  <c r="BK14" i="34"/>
  <c r="AA14" i="35"/>
  <c r="H13" i="39"/>
  <c r="H13" i="38"/>
  <c r="H13" i="37"/>
  <c r="H13" i="26"/>
  <c r="H20" i="18"/>
  <c r="H49" i="12"/>
  <c r="H61" i="12"/>
  <c r="BK36" i="15"/>
  <c r="BK40" i="17"/>
  <c r="BK41" i="17" s="1"/>
  <c r="BE26" i="34"/>
  <c r="Y15" i="35"/>
  <c r="BI27" i="31"/>
  <c r="BI16" i="22"/>
  <c r="BK14" i="31"/>
  <c r="BL24" i="11"/>
  <c r="AA14" i="32"/>
  <c r="R14" i="33"/>
  <c r="BJ25" i="34"/>
  <c r="BK19" i="34"/>
  <c r="BK26" i="16"/>
  <c r="BM27" i="16" s="1"/>
  <c r="BK12" i="16"/>
  <c r="AA19" i="35"/>
  <c r="BK26" i="20"/>
  <c r="BK49" i="19" l="1"/>
  <c r="BK51" i="19" s="1"/>
  <c r="BK36" i="19" s="1"/>
  <c r="BL37" i="19" s="1"/>
  <c r="BK30" i="19"/>
  <c r="BK32" i="19" s="1"/>
  <c r="BD23" i="31"/>
  <c r="BD15" i="22"/>
  <c r="BD17" i="22" s="1"/>
  <c r="BD21" i="22" s="1"/>
  <c r="BJ21" i="28"/>
  <c r="BJ22" i="28" s="1"/>
  <c r="H21" i="36"/>
  <c r="H21" i="35"/>
  <c r="H21" i="34"/>
  <c r="H21" i="25"/>
  <c r="H12" i="18"/>
  <c r="BK40" i="18"/>
  <c r="BK41" i="18" s="1"/>
  <c r="BK27" i="18"/>
  <c r="BK28" i="18" s="1"/>
  <c r="BK13" i="28"/>
  <c r="BK14" i="28" s="1"/>
  <c r="AA13" i="29"/>
  <c r="BE29" i="34"/>
  <c r="Y26" i="35"/>
  <c r="BK14" i="20"/>
  <c r="BK15" i="20" s="1"/>
  <c r="BK20" i="20"/>
  <c r="BK21" i="20" s="1"/>
  <c r="BK34" i="20" s="1"/>
  <c r="BK32" i="13"/>
  <c r="BL28" i="13"/>
  <c r="BQ18" i="34"/>
  <c r="J18" i="25"/>
  <c r="L18" i="35"/>
  <c r="H29" i="17"/>
  <c r="N18" i="36"/>
  <c r="L18" i="25"/>
  <c r="O18" i="36"/>
  <c r="P18" i="36"/>
  <c r="M18" i="25"/>
  <c r="Q18" i="36"/>
  <c r="R18" i="36"/>
  <c r="N18" i="25"/>
  <c r="S18" i="36"/>
  <c r="AC18" i="35"/>
  <c r="BK39" i="16"/>
  <c r="BK40" i="16" s="1"/>
  <c r="BL10" i="37"/>
  <c r="BL24" i="12"/>
  <c r="BL26" i="12" s="1"/>
  <c r="BL31" i="12" s="1"/>
  <c r="BL33" i="12" s="1"/>
  <c r="BM20" i="10"/>
  <c r="BL16" i="19"/>
  <c r="BL17" i="19" s="1"/>
  <c r="BL42" i="15"/>
  <c r="BL20" i="15"/>
  <c r="BL25" i="11"/>
  <c r="BK33" i="17"/>
  <c r="BK46" i="17"/>
  <c r="BK47" i="17" s="1"/>
  <c r="BK42" i="17"/>
  <c r="BF20" i="31"/>
  <c r="BF21" i="31" s="1"/>
  <c r="BF23" i="9" s="1"/>
  <c r="BG75" i="20"/>
  <c r="BL16" i="37"/>
  <c r="BL63" i="12"/>
  <c r="BL65" i="12" s="1"/>
  <c r="BL71" i="12"/>
  <c r="BL73" i="12" s="1"/>
  <c r="BF11" i="34"/>
  <c r="BF12" i="34" s="1"/>
  <c r="BM28" i="16"/>
  <c r="BM14" i="16"/>
  <c r="BK15" i="31"/>
  <c r="BL28" i="15"/>
  <c r="R15" i="33"/>
  <c r="AA15" i="32"/>
  <c r="BL17" i="37" l="1"/>
  <c r="BM70" i="12"/>
  <c r="BL17" i="11"/>
  <c r="BL18" i="11" s="1"/>
  <c r="BK48" i="17"/>
  <c r="BK34" i="17"/>
  <c r="BK35" i="17" s="1"/>
  <c r="BK13" i="17" s="1"/>
  <c r="BK15" i="17" s="1"/>
  <c r="AA14" i="29"/>
  <c r="BM20" i="34"/>
  <c r="BL15" i="37"/>
  <c r="BM60" i="12"/>
  <c r="BK45" i="16"/>
  <c r="BK46" i="16" s="1"/>
  <c r="BK32" i="16"/>
  <c r="BK41" i="16"/>
  <c r="BK9" i="31"/>
  <c r="R9" i="33"/>
  <c r="AA9" i="32"/>
  <c r="BK29" i="18"/>
  <c r="BK14" i="18"/>
  <c r="BJ37" i="9"/>
  <c r="BJ38" i="9" s="1"/>
  <c r="BK33" i="18"/>
  <c r="BK46" i="18"/>
  <c r="BK47" i="18" s="1"/>
  <c r="BK42" i="18"/>
  <c r="BK25" i="20"/>
  <c r="BK27" i="20" s="1"/>
  <c r="BK39" i="20"/>
  <c r="BG66" i="20"/>
  <c r="BG68" i="20" s="1"/>
  <c r="BL21" i="19"/>
  <c r="BL43" i="15"/>
  <c r="BL45" i="15" s="1"/>
  <c r="BL21" i="15"/>
  <c r="BN22" i="15" s="1"/>
  <c r="H18" i="35"/>
  <c r="H18" i="34"/>
  <c r="H18" i="36"/>
  <c r="H18" i="25"/>
  <c r="BF15" i="34"/>
  <c r="BM28" i="10"/>
  <c r="BE12" i="9"/>
  <c r="BE13" i="9" s="1"/>
  <c r="Y29" i="35"/>
  <c r="BK19" i="31"/>
  <c r="BL29" i="19"/>
  <c r="R19" i="33"/>
  <c r="AA19" i="32"/>
  <c r="BK16" i="28"/>
  <c r="AA16" i="29"/>
  <c r="BL11" i="37"/>
  <c r="BL20" i="17"/>
  <c r="BL22" i="17" s="1"/>
  <c r="BL13" i="15"/>
  <c r="BL14" i="15" s="1"/>
  <c r="BL21" i="13"/>
  <c r="BL23" i="13" s="1"/>
  <c r="BL39" i="12"/>
  <c r="BL48" i="12"/>
  <c r="BL50" i="12" s="1"/>
  <c r="BL17" i="9"/>
  <c r="BL18" i="9" s="1"/>
  <c r="BL31" i="19"/>
  <c r="BL38" i="19"/>
  <c r="BK16" i="31" l="1"/>
  <c r="BL11" i="17"/>
  <c r="AA16" i="32"/>
  <c r="R16" i="33"/>
  <c r="BN8" i="34"/>
  <c r="BN44" i="15"/>
  <c r="AB8" i="35"/>
  <c r="BL10" i="31"/>
  <c r="BM41" i="15"/>
  <c r="BG69" i="20"/>
  <c r="BG77" i="20"/>
  <c r="BG78" i="20" s="1"/>
  <c r="BK34" i="16"/>
  <c r="BK13" i="16" s="1"/>
  <c r="BK15" i="16" s="1"/>
  <c r="BK40" i="20"/>
  <c r="BK41" i="20" s="1"/>
  <c r="BK46" i="20" s="1"/>
  <c r="BK47" i="20" s="1"/>
  <c r="BK35" i="20"/>
  <c r="BK36" i="20" s="1"/>
  <c r="BL33" i="20" s="1"/>
  <c r="BM27" i="10"/>
  <c r="BM29" i="10" s="1"/>
  <c r="BK18" i="28"/>
  <c r="AA18" i="29"/>
  <c r="BK22" i="34"/>
  <c r="AA22" i="35"/>
  <c r="BJ25" i="31"/>
  <c r="BJ28" i="9"/>
  <c r="BJ30" i="9" s="1"/>
  <c r="BK36" i="9"/>
  <c r="BL8" i="31"/>
  <c r="BM20" i="13"/>
  <c r="BK23" i="34"/>
  <c r="AA23" i="35"/>
  <c r="BF26" i="34"/>
  <c r="BL8" i="28"/>
  <c r="BL11" i="28" s="1"/>
  <c r="BL19" i="16"/>
  <c r="BL21" i="16" s="1"/>
  <c r="BL26" i="11"/>
  <c r="BL27" i="11" s="1"/>
  <c r="BL29" i="15"/>
  <c r="BL10" i="12"/>
  <c r="BL11" i="12" s="1"/>
  <c r="BK47" i="16"/>
  <c r="BK33" i="16"/>
  <c r="BL12" i="37"/>
  <c r="BL12" i="13"/>
  <c r="BL13" i="13" s="1"/>
  <c r="BM47" i="12"/>
  <c r="BL15" i="15"/>
  <c r="BL32" i="15"/>
  <c r="BL17" i="34"/>
  <c r="BL12" i="17"/>
  <c r="BL27" i="17"/>
  <c r="BL48" i="19"/>
  <c r="BK34" i="18"/>
  <c r="BK35" i="18" s="1"/>
  <c r="BK13" i="18" s="1"/>
  <c r="BK15" i="18" s="1"/>
  <c r="BK48" i="18"/>
  <c r="BL10" i="34"/>
  <c r="BE11" i="31"/>
  <c r="BE12" i="31" s="1"/>
  <c r="BE9" i="8"/>
  <c r="BF11" i="9"/>
  <c r="Y11" i="32"/>
  <c r="M11" i="24"/>
  <c r="Q11" i="33"/>
  <c r="BK17" i="28"/>
  <c r="BK19" i="28" s="1"/>
  <c r="AA17" i="29"/>
  <c r="BK81" i="20" l="1"/>
  <c r="BK76" i="20"/>
  <c r="BK48" i="20"/>
  <c r="BK82" i="20"/>
  <c r="AA19" i="29"/>
  <c r="BK18" i="31"/>
  <c r="BL11" i="18"/>
  <c r="AA18" i="32"/>
  <c r="R18" i="33"/>
  <c r="BJ27" i="31"/>
  <c r="BJ16" i="22"/>
  <c r="BL26" i="20"/>
  <c r="BM25" i="12"/>
  <c r="BL14" i="34"/>
  <c r="BK17" i="31"/>
  <c r="BL11" i="16"/>
  <c r="R17" i="33"/>
  <c r="AA17" i="32"/>
  <c r="BG20" i="31"/>
  <c r="BG21" i="31" s="1"/>
  <c r="BG23" i="9" s="1"/>
  <c r="BH75" i="20"/>
  <c r="BL29" i="13"/>
  <c r="BL31" i="13" s="1"/>
  <c r="BL14" i="13"/>
  <c r="BF29" i="34"/>
  <c r="BG11" i="34"/>
  <c r="BG12" i="34" s="1"/>
  <c r="BK25" i="34"/>
  <c r="AA25" i="35"/>
  <c r="BL14" i="31"/>
  <c r="BM24" i="11"/>
  <c r="BL19" i="34"/>
  <c r="BL12" i="16"/>
  <c r="BL26" i="16"/>
  <c r="BN27" i="16" s="1"/>
  <c r="BK24" i="34"/>
  <c r="AA24" i="35"/>
  <c r="BL9" i="20"/>
  <c r="BL10" i="20" s="1"/>
  <c r="BM11" i="13"/>
  <c r="BL40" i="17"/>
  <c r="BL41" i="17" s="1"/>
  <c r="BE22" i="9"/>
  <c r="BE24" i="9" s="1"/>
  <c r="Q12" i="33"/>
  <c r="M12" i="24"/>
  <c r="Y12" i="32"/>
  <c r="BL9" i="19"/>
  <c r="BL11" i="19" s="1"/>
  <c r="BL22" i="19" s="1"/>
  <c r="BL23" i="19" s="1"/>
  <c r="BL30" i="15"/>
  <c r="BL36" i="15" s="1"/>
  <c r="BM53" i="12"/>
  <c r="BM54" i="12" s="1"/>
  <c r="BM11" i="11"/>
  <c r="BM12" i="11" s="1"/>
  <c r="BM23" i="10"/>
  <c r="BM24" i="10" s="1"/>
  <c r="BL15" i="31" l="1"/>
  <c r="BM28" i="15"/>
  <c r="BM10" i="37"/>
  <c r="BM24" i="12"/>
  <c r="BM26" i="12" s="1"/>
  <c r="BM31" i="12" s="1"/>
  <c r="BM33" i="12" s="1"/>
  <c r="BN20" i="10"/>
  <c r="BL27" i="18"/>
  <c r="BL28" i="18" s="1"/>
  <c r="BL40" i="18"/>
  <c r="BL41" i="18" s="1"/>
  <c r="BF12" i="9"/>
  <c r="BF13" i="9" s="1"/>
  <c r="BL13" i="28"/>
  <c r="BL14" i="28" s="1"/>
  <c r="BE23" i="31"/>
  <c r="BE15" i="22"/>
  <c r="BE17" i="22" s="1"/>
  <c r="BE21" i="22" s="1"/>
  <c r="Y23" i="32"/>
  <c r="Q23" i="33"/>
  <c r="M23" i="24"/>
  <c r="BN14" i="16"/>
  <c r="BN28" i="16"/>
  <c r="BL32" i="13"/>
  <c r="BL9" i="31" s="1"/>
  <c r="BM28" i="13"/>
  <c r="BL39" i="16"/>
  <c r="BL40" i="16" s="1"/>
  <c r="BM16" i="19"/>
  <c r="BM17" i="19" s="1"/>
  <c r="BM42" i="15"/>
  <c r="BM20" i="15"/>
  <c r="BM25" i="11"/>
  <c r="BM16" i="37"/>
  <c r="BM63" i="12"/>
  <c r="BM65" i="12" s="1"/>
  <c r="BM71" i="12"/>
  <c r="BM73" i="12" s="1"/>
  <c r="BL20" i="20"/>
  <c r="BL21" i="20" s="1"/>
  <c r="BL34" i="20" s="1"/>
  <c r="BL14" i="20"/>
  <c r="BL15" i="20" s="1"/>
  <c r="BL49" i="19"/>
  <c r="BL51" i="19" s="1"/>
  <c r="BL36" i="19" s="1"/>
  <c r="BM37" i="19" s="1"/>
  <c r="BL30" i="19"/>
  <c r="BL32" i="19" s="1"/>
  <c r="BG15" i="34"/>
  <c r="BH66" i="20"/>
  <c r="BH68" i="20" s="1"/>
  <c r="BK21" i="28"/>
  <c r="BK22" i="28" s="1"/>
  <c r="AA21" i="29"/>
  <c r="BL33" i="17"/>
  <c r="BL46" i="17"/>
  <c r="BL47" i="17" s="1"/>
  <c r="BL42" i="17"/>
  <c r="BL19" i="31" l="1"/>
  <c r="BM29" i="19"/>
  <c r="BL33" i="18"/>
  <c r="BL46" i="18"/>
  <c r="BL47" i="18" s="1"/>
  <c r="BL42" i="18"/>
  <c r="BK37" i="9"/>
  <c r="BK38" i="9" s="1"/>
  <c r="AA22" i="29"/>
  <c r="BL29" i="18"/>
  <c r="BL14" i="18"/>
  <c r="BN20" i="34"/>
  <c r="AB20" i="35"/>
  <c r="BH77" i="20"/>
  <c r="BH78" i="20" s="1"/>
  <c r="BH69" i="20"/>
  <c r="BN28" i="10"/>
  <c r="BM11" i="37"/>
  <c r="BM20" i="17"/>
  <c r="BM22" i="17" s="1"/>
  <c r="BM13" i="15"/>
  <c r="BM14" i="15" s="1"/>
  <c r="BM21" i="13"/>
  <c r="BM23" i="13" s="1"/>
  <c r="BM39" i="12"/>
  <c r="BM48" i="12"/>
  <c r="BM50" i="12" s="1"/>
  <c r="BM17" i="9"/>
  <c r="BM18" i="9" s="1"/>
  <c r="BM31" i="19"/>
  <c r="BM38" i="19"/>
  <c r="BM21" i="19"/>
  <c r="BM43" i="15"/>
  <c r="BM45" i="15" s="1"/>
  <c r="BM21" i="15"/>
  <c r="BO22" i="15" s="1"/>
  <c r="BL39" i="20"/>
  <c r="BL25" i="20"/>
  <c r="BL27" i="20" s="1"/>
  <c r="BL16" i="28"/>
  <c r="BL48" i="17"/>
  <c r="BL34" i="17"/>
  <c r="BL35" i="17" s="1"/>
  <c r="BL13" i="17" s="1"/>
  <c r="BL15" i="17" s="1"/>
  <c r="BM17" i="37"/>
  <c r="BN70" i="12"/>
  <c r="BM17" i="11"/>
  <c r="BM18" i="11" s="1"/>
  <c r="BG26" i="34"/>
  <c r="BM15" i="37"/>
  <c r="BN60" i="12"/>
  <c r="BL41" i="16"/>
  <c r="BL45" i="16"/>
  <c r="BL46" i="16" s="1"/>
  <c r="BL32" i="16"/>
  <c r="BF11" i="31"/>
  <c r="BF12" i="31" s="1"/>
  <c r="BF22" i="9" s="1"/>
  <c r="BF24" i="9" s="1"/>
  <c r="BG11" i="9"/>
  <c r="BF9" i="8"/>
  <c r="BL16" i="31" l="1"/>
  <c r="BM11" i="17"/>
  <c r="BO8" i="34"/>
  <c r="BO44" i="15"/>
  <c r="BM10" i="31"/>
  <c r="BN41" i="15"/>
  <c r="BL40" i="20"/>
  <c r="BL41" i="20" s="1"/>
  <c r="BL46" i="20" s="1"/>
  <c r="BL47" i="20" s="1"/>
  <c r="BL35" i="20"/>
  <c r="BL36" i="20" s="1"/>
  <c r="BM33" i="20" s="1"/>
  <c r="BH20" i="31"/>
  <c r="BH21" i="31" s="1"/>
  <c r="BI75" i="20"/>
  <c r="Z20" i="32"/>
  <c r="BK25" i="31"/>
  <c r="BL36" i="9"/>
  <c r="BK28" i="9"/>
  <c r="BK30" i="9" s="1"/>
  <c r="R25" i="33"/>
  <c r="AA25" i="32"/>
  <c r="BL18" i="28"/>
  <c r="BL34" i="18"/>
  <c r="BL35" i="18" s="1"/>
  <c r="BL13" i="18" s="1"/>
  <c r="BL15" i="18" s="1"/>
  <c r="BL48" i="18"/>
  <c r="BM8" i="31"/>
  <c r="BN20" i="13"/>
  <c r="BM29" i="15"/>
  <c r="BM10" i="12"/>
  <c r="BM11" i="12" s="1"/>
  <c r="BM12" i="37"/>
  <c r="BM12" i="13"/>
  <c r="BM13" i="13" s="1"/>
  <c r="BN47" i="12"/>
  <c r="BM10" i="34"/>
  <c r="BM15" i="15"/>
  <c r="BM32" i="15"/>
  <c r="BM48" i="19"/>
  <c r="BF23" i="31"/>
  <c r="BF15" i="22"/>
  <c r="BF17" i="22" s="1"/>
  <c r="BF21" i="22" s="1"/>
  <c r="BL23" i="34"/>
  <c r="BG29" i="34"/>
  <c r="BL17" i="28"/>
  <c r="BL19" i="28" s="1"/>
  <c r="BM17" i="34"/>
  <c r="BM27" i="17"/>
  <c r="BM12" i="17"/>
  <c r="BL22" i="34"/>
  <c r="BL33" i="16"/>
  <c r="BL34" i="16" s="1"/>
  <c r="BL13" i="16" s="1"/>
  <c r="BL15" i="16" s="1"/>
  <c r="BL47" i="16"/>
  <c r="BN27" i="10"/>
  <c r="BN29" i="10" s="1"/>
  <c r="BM8" i="28"/>
  <c r="BM11" i="28" s="1"/>
  <c r="BM19" i="16"/>
  <c r="BM21" i="16" s="1"/>
  <c r="BM26" i="11"/>
  <c r="BM27" i="11" s="1"/>
  <c r="BH11" i="34"/>
  <c r="BH12" i="34" s="1"/>
  <c r="Z11" i="35"/>
  <c r="BL82" i="20" l="1"/>
  <c r="BL18" i="31"/>
  <c r="BM11" i="18"/>
  <c r="BL17" i="31"/>
  <c r="BM11" i="16"/>
  <c r="BM14" i="34"/>
  <c r="BM9" i="19"/>
  <c r="BM11" i="19" s="1"/>
  <c r="BM22" i="19" s="1"/>
  <c r="BM23" i="19" s="1"/>
  <c r="BM30" i="15"/>
  <c r="BM36" i="15" s="1"/>
  <c r="BM19" i="34"/>
  <c r="BM26" i="16"/>
  <c r="BO27" i="16" s="1"/>
  <c r="BM12" i="16"/>
  <c r="BI66" i="20"/>
  <c r="BI68" i="20" s="1"/>
  <c r="BM9" i="20"/>
  <c r="BM10" i="20" s="1"/>
  <c r="BH23" i="9"/>
  <c r="Z21" i="32"/>
  <c r="BN25" i="12"/>
  <c r="BM26" i="20"/>
  <c r="BM29" i="13"/>
  <c r="BM31" i="13" s="1"/>
  <c r="BM14" i="13"/>
  <c r="BL81" i="20"/>
  <c r="BL76" i="20"/>
  <c r="BL48" i="20"/>
  <c r="BM40" i="17"/>
  <c r="BM41" i="17" s="1"/>
  <c r="BM14" i="31"/>
  <c r="BN24" i="11"/>
  <c r="BN11" i="13"/>
  <c r="BN53" i="12"/>
  <c r="BN54" i="12" s="1"/>
  <c r="BN11" i="11"/>
  <c r="BN12" i="11" s="1"/>
  <c r="BN23" i="10"/>
  <c r="BN24" i="10" s="1"/>
  <c r="BH15" i="34"/>
  <c r="Z12" i="35"/>
  <c r="BK27" i="31"/>
  <c r="BK16" i="22"/>
  <c r="R27" i="33"/>
  <c r="AA27" i="32"/>
  <c r="BL24" i="34"/>
  <c r="BG12" i="9"/>
  <c r="BG13" i="9" s="1"/>
  <c r="BL25" i="34"/>
  <c r="BN10" i="37" l="1"/>
  <c r="BN24" i="12"/>
  <c r="BN26" i="12" s="1"/>
  <c r="BN31" i="12" s="1"/>
  <c r="BN33" i="12" s="1"/>
  <c r="BO20" i="10"/>
  <c r="AB10" i="38"/>
  <c r="BM46" i="17"/>
  <c r="BM47" i="17" s="1"/>
  <c r="BM42" i="17"/>
  <c r="BM33" i="17"/>
  <c r="BM39" i="16"/>
  <c r="BM40" i="16" s="1"/>
  <c r="BN16" i="19"/>
  <c r="BN17" i="19" s="1"/>
  <c r="BN42" i="15"/>
  <c r="BN20" i="15"/>
  <c r="BN25" i="11"/>
  <c r="BM14" i="20"/>
  <c r="BM15" i="20" s="1"/>
  <c r="BM20" i="20"/>
  <c r="BM21" i="20" s="1"/>
  <c r="BM34" i="20" s="1"/>
  <c r="BO28" i="16"/>
  <c r="BO14" i="16"/>
  <c r="BL21" i="28"/>
  <c r="BL22" i="28" s="1"/>
  <c r="BG11" i="31"/>
  <c r="BG12" i="31" s="1"/>
  <c r="BG22" i="9" s="1"/>
  <c r="BG24" i="9" s="1"/>
  <c r="BH11" i="9"/>
  <c r="BG9" i="8"/>
  <c r="BN16" i="37"/>
  <c r="BN71" i="12"/>
  <c r="BN73" i="12" s="1"/>
  <c r="BN63" i="12"/>
  <c r="BN65" i="12" s="1"/>
  <c r="AB16" i="38"/>
  <c r="BM40" i="18"/>
  <c r="BM41" i="18" s="1"/>
  <c r="BM27" i="18"/>
  <c r="BM28" i="18" s="1"/>
  <c r="BM15" i="31"/>
  <c r="BN28" i="15"/>
  <c r="BM13" i="28"/>
  <c r="BM14" i="28" s="1"/>
  <c r="BM49" i="19"/>
  <c r="BM51" i="19" s="1"/>
  <c r="BM36" i="19" s="1"/>
  <c r="BN37" i="19" s="1"/>
  <c r="BM30" i="19"/>
  <c r="BM32" i="19" s="1"/>
  <c r="BM32" i="13"/>
  <c r="BM9" i="31" s="1"/>
  <c r="BN28" i="13"/>
  <c r="BI77" i="20"/>
  <c r="BI78" i="20" s="1"/>
  <c r="BI69" i="20"/>
  <c r="BH26" i="34"/>
  <c r="Z15" i="35"/>
  <c r="BO20" i="34" l="1"/>
  <c r="BM45" i="16"/>
  <c r="BM46" i="16" s="1"/>
  <c r="BM32" i="16"/>
  <c r="BM41" i="16"/>
  <c r="BM35" i="17"/>
  <c r="BM13" i="17" s="1"/>
  <c r="BM15" i="17" s="1"/>
  <c r="BN31" i="19"/>
  <c r="BN38" i="19"/>
  <c r="BM29" i="18"/>
  <c r="BM14" i="18"/>
  <c r="BM25" i="20"/>
  <c r="BM27" i="20" s="1"/>
  <c r="BM39" i="20"/>
  <c r="BM16" i="28"/>
  <c r="BM33" i="18"/>
  <c r="BM46" i="18"/>
  <c r="BM47" i="18" s="1"/>
  <c r="BM42" i="18"/>
  <c r="BG23" i="31"/>
  <c r="BG15" i="22"/>
  <c r="BG17" i="22" s="1"/>
  <c r="BG21" i="22" s="1"/>
  <c r="BM48" i="17"/>
  <c r="BM34" i="17"/>
  <c r="BI20" i="31"/>
  <c r="BI21" i="31" s="1"/>
  <c r="BI23" i="9" s="1"/>
  <c r="BJ75" i="20"/>
  <c r="BO28" i="10"/>
  <c r="BI11" i="34"/>
  <c r="BI12" i="34" s="1"/>
  <c r="BN15" i="37"/>
  <c r="BO60" i="12"/>
  <c r="AB15" i="38"/>
  <c r="BL37" i="9"/>
  <c r="BL38" i="9" s="1"/>
  <c r="BN21" i="19"/>
  <c r="BN43" i="15"/>
  <c r="BN45" i="15" s="1"/>
  <c r="BN21" i="15"/>
  <c r="BP22" i="15" s="1"/>
  <c r="BN11" i="37"/>
  <c r="BN20" i="17"/>
  <c r="BN22" i="17" s="1"/>
  <c r="BN13" i="15"/>
  <c r="BN14" i="15" s="1"/>
  <c r="BN21" i="13"/>
  <c r="BN23" i="13" s="1"/>
  <c r="BN39" i="12"/>
  <c r="BN48" i="12"/>
  <c r="BN50" i="12" s="1"/>
  <c r="BN17" i="9"/>
  <c r="BN18" i="9" s="1"/>
  <c r="AB11" i="38"/>
  <c r="BM19" i="31"/>
  <c r="BN29" i="19"/>
  <c r="BH29" i="34"/>
  <c r="Z26" i="35"/>
  <c r="BN17" i="37"/>
  <c r="BO70" i="12"/>
  <c r="BN17" i="11"/>
  <c r="BN18" i="11" s="1"/>
  <c r="AB17" i="38"/>
  <c r="BN48" i="19" l="1"/>
  <c r="BN15" i="15"/>
  <c r="BN32" i="15"/>
  <c r="BL25" i="31"/>
  <c r="BM36" i="9"/>
  <c r="BL28" i="9"/>
  <c r="BL30" i="9" s="1"/>
  <c r="BI15" i="34"/>
  <c r="BM23" i="34"/>
  <c r="BM16" i="31"/>
  <c r="BN11" i="17"/>
  <c r="BO27" i="10"/>
  <c r="BO29" i="10" s="1"/>
  <c r="BM40" i="20"/>
  <c r="BM41" i="20" s="1"/>
  <c r="BM46" i="20" s="1"/>
  <c r="BM47" i="20" s="1"/>
  <c r="BM35" i="20"/>
  <c r="BM36" i="20" s="1"/>
  <c r="BN33" i="20" s="1"/>
  <c r="BM17" i="28"/>
  <c r="BN10" i="31"/>
  <c r="BO41" i="15"/>
  <c r="AB10" i="32"/>
  <c r="BM18" i="28"/>
  <c r="BN17" i="34"/>
  <c r="BN27" i="17"/>
  <c r="BN12" i="17"/>
  <c r="AB17" i="35"/>
  <c r="BN8" i="28"/>
  <c r="BN11" i="28" s="1"/>
  <c r="BN19" i="16"/>
  <c r="BN21" i="16" s="1"/>
  <c r="BN26" i="11"/>
  <c r="BN27" i="11" s="1"/>
  <c r="AB8" i="29"/>
  <c r="BN29" i="15"/>
  <c r="BN10" i="12"/>
  <c r="BN11" i="12" s="1"/>
  <c r="BJ66" i="20"/>
  <c r="BJ68" i="20" s="1"/>
  <c r="BM48" i="18"/>
  <c r="BM34" i="18"/>
  <c r="BM35" i="18" s="1"/>
  <c r="BM13" i="18" s="1"/>
  <c r="BM15" i="18" s="1"/>
  <c r="BM47" i="16"/>
  <c r="BM33" i="16"/>
  <c r="BM34" i="16" s="1"/>
  <c r="BM13" i="16" s="1"/>
  <c r="BM15" i="16" s="1"/>
  <c r="BM22" i="34"/>
  <c r="BP8" i="34"/>
  <c r="BP44" i="15"/>
  <c r="BN10" i="34"/>
  <c r="AB10" i="35"/>
  <c r="BN12" i="37"/>
  <c r="BN12" i="13"/>
  <c r="BN13" i="13" s="1"/>
  <c r="BO47" i="12"/>
  <c r="AB12" i="38"/>
  <c r="BH12" i="9"/>
  <c r="BH13" i="9" s="1"/>
  <c r="Z29" i="35"/>
  <c r="BN8" i="31"/>
  <c r="BO20" i="13"/>
  <c r="AB8" i="32"/>
  <c r="BM76" i="20" l="1"/>
  <c r="BM81" i="20"/>
  <c r="BM48" i="20"/>
  <c r="BM17" i="31"/>
  <c r="BN11" i="16"/>
  <c r="BO25" i="12"/>
  <c r="BM25" i="34"/>
  <c r="BN19" i="34"/>
  <c r="BN12" i="16"/>
  <c r="BN26" i="16"/>
  <c r="BP27" i="16" s="1"/>
  <c r="AB19" i="35"/>
  <c r="BM19" i="28"/>
  <c r="BL27" i="31"/>
  <c r="BL16" i="22"/>
  <c r="BO11" i="13"/>
  <c r="BN26" i="20"/>
  <c r="BN9" i="20"/>
  <c r="BN10" i="20" s="1"/>
  <c r="AB11" i="29"/>
  <c r="BJ77" i="20"/>
  <c r="BJ78" i="20" s="1"/>
  <c r="BJ69" i="20"/>
  <c r="BN29" i="13"/>
  <c r="BN31" i="13" s="1"/>
  <c r="BN14" i="13"/>
  <c r="BM18" i="31"/>
  <c r="BN11" i="18"/>
  <c r="BO53" i="12"/>
  <c r="BO54" i="12" s="1"/>
  <c r="BO11" i="11"/>
  <c r="BO12" i="11" s="1"/>
  <c r="BO23" i="10"/>
  <c r="BO24" i="10" s="1"/>
  <c r="BN14" i="34"/>
  <c r="AB14" i="35"/>
  <c r="BN9" i="19"/>
  <c r="BN11" i="19" s="1"/>
  <c r="BN22" i="19" s="1"/>
  <c r="BN23" i="19" s="1"/>
  <c r="BN30" i="15"/>
  <c r="BN36" i="15" s="1"/>
  <c r="BM24" i="34"/>
  <c r="BH11" i="31"/>
  <c r="BH12" i="31" s="1"/>
  <c r="BH9" i="8"/>
  <c r="BI11" i="9"/>
  <c r="Z11" i="32"/>
  <c r="BN14" i="31"/>
  <c r="BO24" i="11"/>
  <c r="AB14" i="32"/>
  <c r="BN40" i="17"/>
  <c r="BN41" i="17" s="1"/>
  <c r="BI26" i="34"/>
  <c r="BN15" i="31" l="1"/>
  <c r="BO28" i="15"/>
  <c r="AB15" i="32"/>
  <c r="BN32" i="13"/>
  <c r="BO28" i="13"/>
  <c r="BJ20" i="31"/>
  <c r="BJ21" i="31" s="1"/>
  <c r="BJ23" i="9" s="1"/>
  <c r="BK75" i="20"/>
  <c r="BP14" i="16"/>
  <c r="BP28" i="16"/>
  <c r="BO16" i="19"/>
  <c r="BO17" i="19" s="1"/>
  <c r="BO42" i="15"/>
  <c r="BO20" i="15"/>
  <c r="BO25" i="11"/>
  <c r="BO16" i="37"/>
  <c r="BO63" i="12"/>
  <c r="BO65" i="12" s="1"/>
  <c r="BO71" i="12"/>
  <c r="BO73" i="12" s="1"/>
  <c r="BI29" i="34"/>
  <c r="BN39" i="16"/>
  <c r="BN40" i="16" s="1"/>
  <c r="BN27" i="18"/>
  <c r="BN28" i="18" s="1"/>
  <c r="BN40" i="18"/>
  <c r="BN41" i="18" s="1"/>
  <c r="BN20" i="20"/>
  <c r="BN21" i="20" s="1"/>
  <c r="BN34" i="20" s="1"/>
  <c r="BN14" i="20"/>
  <c r="BN15" i="20" s="1"/>
  <c r="BM21" i="28"/>
  <c r="BM22" i="28" s="1"/>
  <c r="BJ11" i="34"/>
  <c r="BJ12" i="34" s="1"/>
  <c r="BN42" i="17"/>
  <c r="BN33" i="17"/>
  <c r="BN46" i="17"/>
  <c r="BN47" i="17" s="1"/>
  <c r="BN49" i="19"/>
  <c r="BN51" i="19" s="1"/>
  <c r="BN36" i="19" s="1"/>
  <c r="BO37" i="19" s="1"/>
  <c r="BN30" i="19"/>
  <c r="BN32" i="19" s="1"/>
  <c r="BH22" i="9"/>
  <c r="BH24" i="9" s="1"/>
  <c r="Z12" i="32"/>
  <c r="BO10" i="37"/>
  <c r="BO24" i="12"/>
  <c r="BO26" i="12" s="1"/>
  <c r="BO31" i="12" s="1"/>
  <c r="BO33" i="12" s="1"/>
  <c r="BP20" i="10"/>
  <c r="BN13" i="28"/>
  <c r="BN14" i="28" s="1"/>
  <c r="AB13" i="29"/>
  <c r="BM82" i="20"/>
  <c r="BO11" i="37" l="1"/>
  <c r="BO20" i="17"/>
  <c r="BO22" i="17" s="1"/>
  <c r="BO13" i="15"/>
  <c r="BO14" i="15" s="1"/>
  <c r="BO21" i="13"/>
  <c r="BO23" i="13" s="1"/>
  <c r="BO39" i="12"/>
  <c r="BO48" i="12"/>
  <c r="BO50" i="12" s="1"/>
  <c r="BO17" i="9"/>
  <c r="BO18" i="9" s="1"/>
  <c r="BN39" i="20"/>
  <c r="BN25" i="20"/>
  <c r="BN27" i="20" s="1"/>
  <c r="BO15" i="37"/>
  <c r="BP60" i="12"/>
  <c r="BK66" i="20"/>
  <c r="BK68" i="20" s="1"/>
  <c r="BN9" i="31"/>
  <c r="AB9" i="32"/>
  <c r="BH23" i="31"/>
  <c r="BH15" i="22"/>
  <c r="BH17" i="22" s="1"/>
  <c r="BH21" i="22" s="1"/>
  <c r="Z23" i="32"/>
  <c r="BJ15" i="34"/>
  <c r="BN46" i="18"/>
  <c r="BN47" i="18" s="1"/>
  <c r="BN42" i="18"/>
  <c r="BN33" i="18"/>
  <c r="BI12" i="9"/>
  <c r="BI13" i="9" s="1"/>
  <c r="BM37" i="9"/>
  <c r="BM38" i="9" s="1"/>
  <c r="BO21" i="19"/>
  <c r="BO43" i="15"/>
  <c r="BO45" i="15" s="1"/>
  <c r="BO21" i="15"/>
  <c r="BQ22" i="15" s="1"/>
  <c r="AB14" i="29"/>
  <c r="BO38" i="19"/>
  <c r="BO31" i="19"/>
  <c r="BP20" i="34"/>
  <c r="BN16" i="28"/>
  <c r="AB16" i="29"/>
  <c r="BN19" i="31"/>
  <c r="BO29" i="19"/>
  <c r="AB19" i="32"/>
  <c r="BN29" i="18"/>
  <c r="BN14" i="18"/>
  <c r="BP28" i="10"/>
  <c r="BN48" i="17"/>
  <c r="BN34" i="17"/>
  <c r="BN35" i="17" s="1"/>
  <c r="BN13" i="17" s="1"/>
  <c r="BN15" i="17" s="1"/>
  <c r="BN45" i="16"/>
  <c r="BN46" i="16" s="1"/>
  <c r="BN32" i="16"/>
  <c r="BN41" i="16"/>
  <c r="BO17" i="37"/>
  <c r="BP70" i="12"/>
  <c r="BO17" i="11"/>
  <c r="BO18" i="11" s="1"/>
  <c r="BN16" i="31" l="1"/>
  <c r="BO11" i="17"/>
  <c r="AB16" i="32"/>
  <c r="BQ8" i="34"/>
  <c r="BQ44" i="15"/>
  <c r="J8" i="25"/>
  <c r="H22" i="15"/>
  <c r="J8" i="36"/>
  <c r="L8" i="35"/>
  <c r="K8" i="25"/>
  <c r="M8" i="36"/>
  <c r="N8" i="36"/>
  <c r="L8" i="25"/>
  <c r="O8" i="36"/>
  <c r="M8" i="25"/>
  <c r="P8" i="36"/>
  <c r="Q8" i="36"/>
  <c r="N8" i="25"/>
  <c r="R8" i="36"/>
  <c r="S8" i="36"/>
  <c r="AC8" i="35"/>
  <c r="BO10" i="31"/>
  <c r="BP41" i="15"/>
  <c r="BK69" i="20"/>
  <c r="BK77" i="20"/>
  <c r="BK78" i="20" s="1"/>
  <c r="BO29" i="15"/>
  <c r="BO10" i="12"/>
  <c r="BO11" i="12" s="1"/>
  <c r="BI11" i="31"/>
  <c r="BI12" i="31" s="1"/>
  <c r="BI22" i="9" s="1"/>
  <c r="BI24" i="9" s="1"/>
  <c r="BI9" i="8"/>
  <c r="BJ11" i="9"/>
  <c r="BP27" i="10"/>
  <c r="BP29" i="10" s="1"/>
  <c r="BO12" i="37"/>
  <c r="BP47" i="12"/>
  <c r="BO12" i="13"/>
  <c r="BO13" i="13" s="1"/>
  <c r="BN33" i="16"/>
  <c r="BN34" i="16" s="1"/>
  <c r="BN13" i="16" s="1"/>
  <c r="BN15" i="16" s="1"/>
  <c r="BN47" i="16"/>
  <c r="BO48" i="19"/>
  <c r="BN35" i="18"/>
  <c r="BN13" i="18" s="1"/>
  <c r="BN15" i="18" s="1"/>
  <c r="BO10" i="34"/>
  <c r="BN18" i="28"/>
  <c r="AB18" i="29"/>
  <c r="BN35" i="20"/>
  <c r="BN36" i="20" s="1"/>
  <c r="BO33" i="20" s="1"/>
  <c r="BN40" i="20"/>
  <c r="BO8" i="31"/>
  <c r="BP20" i="13"/>
  <c r="BM25" i="31"/>
  <c r="BN36" i="9"/>
  <c r="BM28" i="9"/>
  <c r="BM30" i="9" s="1"/>
  <c r="BN48" i="18"/>
  <c r="BN34" i="18"/>
  <c r="BN41" i="20"/>
  <c r="BN46" i="20" s="1"/>
  <c r="BN47" i="20" s="1"/>
  <c r="BO32" i="15"/>
  <c r="BO15" i="15"/>
  <c r="BN17" i="28"/>
  <c r="BN19" i="28" s="1"/>
  <c r="AB17" i="29"/>
  <c r="BN23" i="34"/>
  <c r="AB23" i="35"/>
  <c r="BO8" i="28"/>
  <c r="BO11" i="28" s="1"/>
  <c r="BO19" i="16"/>
  <c r="BO21" i="16" s="1"/>
  <c r="BO26" i="11"/>
  <c r="BO27" i="11" s="1"/>
  <c r="BO17" i="34"/>
  <c r="BO27" i="17"/>
  <c r="BO12" i="17"/>
  <c r="BN22" i="34"/>
  <c r="AB22" i="35"/>
  <c r="BJ26" i="34"/>
  <c r="BN82" i="20" l="1"/>
  <c r="AB19" i="29"/>
  <c r="BN17" i="31"/>
  <c r="BO11" i="16"/>
  <c r="AB17" i="32"/>
  <c r="BM27" i="31"/>
  <c r="BM16" i="22"/>
  <c r="BN24" i="34"/>
  <c r="AB24" i="35"/>
  <c r="H8" i="36"/>
  <c r="H8" i="35"/>
  <c r="H8" i="34"/>
  <c r="H8" i="25"/>
  <c r="H44" i="15"/>
  <c r="BO14" i="31"/>
  <c r="BP24" i="11"/>
  <c r="BI23" i="31"/>
  <c r="BI15" i="22"/>
  <c r="BI17" i="22" s="1"/>
  <c r="BI21" i="22" s="1"/>
  <c r="BO29" i="13"/>
  <c r="BO31" i="13" s="1"/>
  <c r="BO14" i="13"/>
  <c r="BO9" i="20"/>
  <c r="BO10" i="20" s="1"/>
  <c r="BP11" i="13"/>
  <c r="BN48" i="20"/>
  <c r="BN81" i="20"/>
  <c r="BN76" i="20"/>
  <c r="BP25" i="12"/>
  <c r="BO9" i="19"/>
  <c r="BO11" i="19" s="1"/>
  <c r="BO22" i="19" s="1"/>
  <c r="BO23" i="19" s="1"/>
  <c r="BO30" i="15"/>
  <c r="BO14" i="34"/>
  <c r="BJ29" i="34"/>
  <c r="BO36" i="15"/>
  <c r="BO19" i="34"/>
  <c r="BO26" i="16"/>
  <c r="BQ27" i="16" s="1"/>
  <c r="BO12" i="16"/>
  <c r="BN18" i="31"/>
  <c r="BO11" i="18"/>
  <c r="AB18" i="32"/>
  <c r="BO26" i="20"/>
  <c r="BK20" i="31"/>
  <c r="BK21" i="31" s="1"/>
  <c r="BL75" i="20"/>
  <c r="R20" i="33"/>
  <c r="AA20" i="32"/>
  <c r="BO40" i="17"/>
  <c r="BO41" i="17" s="1"/>
  <c r="BN25" i="34"/>
  <c r="AB25" i="35"/>
  <c r="BP53" i="12"/>
  <c r="BP54" i="12" s="1"/>
  <c r="BP11" i="11"/>
  <c r="BP12" i="11" s="1"/>
  <c r="BP23" i="10"/>
  <c r="BP24" i="10" s="1"/>
  <c r="BK11" i="34"/>
  <c r="BK12" i="34" s="1"/>
  <c r="AA11" i="35"/>
  <c r="BO15" i="31" l="1"/>
  <c r="BP28" i="15"/>
  <c r="BO30" i="19"/>
  <c r="BO32" i="19" s="1"/>
  <c r="BO49" i="19"/>
  <c r="BO51" i="19" s="1"/>
  <c r="BO36" i="19" s="1"/>
  <c r="BP37" i="19" s="1"/>
  <c r="BJ12" i="9"/>
  <c r="BJ13" i="9" s="1"/>
  <c r="BO39" i="16"/>
  <c r="BO40" i="16" s="1"/>
  <c r="BO20" i="20"/>
  <c r="BO21" i="20" s="1"/>
  <c r="BO34" i="20" s="1"/>
  <c r="BO14" i="20"/>
  <c r="BO15" i="20" s="1"/>
  <c r="BO46" i="17"/>
  <c r="BO47" i="17" s="1"/>
  <c r="BO42" i="17"/>
  <c r="BO33" i="17"/>
  <c r="BK23" i="9"/>
  <c r="AA21" i="32"/>
  <c r="R21" i="33"/>
  <c r="BK15" i="34"/>
  <c r="AA12" i="35"/>
  <c r="BP16" i="19"/>
  <c r="BP17" i="19" s="1"/>
  <c r="BP42" i="15"/>
  <c r="BP20" i="15"/>
  <c r="BP25" i="11"/>
  <c r="BP16" i="37"/>
  <c r="BP63" i="12"/>
  <c r="BP65" i="12" s="1"/>
  <c r="BP71" i="12"/>
  <c r="BP73" i="12" s="1"/>
  <c r="BL66" i="20"/>
  <c r="BL68" i="20" s="1"/>
  <c r="BQ14" i="16"/>
  <c r="BQ28" i="16"/>
  <c r="H27" i="16"/>
  <c r="H14" i="16" s="1"/>
  <c r="BN21" i="28"/>
  <c r="BN22" i="28" s="1"/>
  <c r="AB21" i="29"/>
  <c r="BO13" i="28"/>
  <c r="BO14" i="28" s="1"/>
  <c r="BP10" i="37"/>
  <c r="BP24" i="12"/>
  <c r="BP26" i="12" s="1"/>
  <c r="BP31" i="12" s="1"/>
  <c r="BP33" i="12" s="1"/>
  <c r="BQ20" i="10"/>
  <c r="BO27" i="18"/>
  <c r="BO28" i="18" s="1"/>
  <c r="BO40" i="18"/>
  <c r="BO41" i="18" s="1"/>
  <c r="BO32" i="13"/>
  <c r="BO9" i="31" s="1"/>
  <c r="BP28" i="13"/>
  <c r="BO48" i="17" l="1"/>
  <c r="BO34" i="17"/>
  <c r="BP21" i="19"/>
  <c r="BP43" i="15"/>
  <c r="BP45" i="15" s="1"/>
  <c r="BP21" i="15"/>
  <c r="BO42" i="18"/>
  <c r="BO33" i="18"/>
  <c r="BO46" i="18"/>
  <c r="BO47" i="18" s="1"/>
  <c r="BP38" i="19"/>
  <c r="BP31" i="19"/>
  <c r="BO16" i="28"/>
  <c r="BL77" i="20"/>
  <c r="BL78" i="20" s="1"/>
  <c r="BL69" i="20"/>
  <c r="BJ11" i="31"/>
  <c r="BJ12" i="31" s="1"/>
  <c r="BJ22" i="9" s="1"/>
  <c r="BJ24" i="9" s="1"/>
  <c r="BJ9" i="8"/>
  <c r="BK11" i="9"/>
  <c r="BO39" i="20"/>
  <c r="BO25" i="20"/>
  <c r="BO27" i="20" s="1"/>
  <c r="BO19" i="31"/>
  <c r="BP29" i="19"/>
  <c r="BP11" i="37"/>
  <c r="BP20" i="17"/>
  <c r="BP22" i="17" s="1"/>
  <c r="BP13" i="15"/>
  <c r="BP14" i="15" s="1"/>
  <c r="BP21" i="13"/>
  <c r="BP23" i="13" s="1"/>
  <c r="BP48" i="12"/>
  <c r="BP50" i="12" s="1"/>
  <c r="BP39" i="12"/>
  <c r="BP17" i="9"/>
  <c r="BP18" i="9" s="1"/>
  <c r="BO14" i="18"/>
  <c r="BO29" i="18"/>
  <c r="BK26" i="34"/>
  <c r="AA15" i="35"/>
  <c r="BN37" i="9"/>
  <c r="BN38" i="9" s="1"/>
  <c r="AB22" i="29"/>
  <c r="BQ20" i="34"/>
  <c r="J20" i="36"/>
  <c r="K20" i="35"/>
  <c r="J20" i="25"/>
  <c r="H28" i="16"/>
  <c r="L20" i="35"/>
  <c r="K20" i="25"/>
  <c r="M20" i="36"/>
  <c r="N20" i="36"/>
  <c r="L20" i="25"/>
  <c r="O20" i="36"/>
  <c r="M20" i="25"/>
  <c r="P20" i="36"/>
  <c r="Q20" i="36"/>
  <c r="N20" i="25"/>
  <c r="R20" i="36"/>
  <c r="S20" i="36"/>
  <c r="AC20" i="35"/>
  <c r="BP17" i="37"/>
  <c r="BQ70" i="12"/>
  <c r="BP17" i="11"/>
  <c r="BP18" i="11" s="1"/>
  <c r="BQ28" i="10"/>
  <c r="BP15" i="37"/>
  <c r="BQ60" i="12"/>
  <c r="BO35" i="17"/>
  <c r="BO13" i="17" s="1"/>
  <c r="BO15" i="17" s="1"/>
  <c r="BO41" i="16"/>
  <c r="BO45" i="16"/>
  <c r="BO46" i="16" s="1"/>
  <c r="BO32" i="16"/>
  <c r="BP10" i="31" l="1"/>
  <c r="BQ41" i="15"/>
  <c r="BO17" i="28"/>
  <c r="BK29" i="34"/>
  <c r="AA26" i="35"/>
  <c r="BP12" i="37"/>
  <c r="BP12" i="13"/>
  <c r="BP13" i="13" s="1"/>
  <c r="BQ47" i="12"/>
  <c r="BO22" i="34"/>
  <c r="BP8" i="31"/>
  <c r="BQ20" i="13"/>
  <c r="BP15" i="15"/>
  <c r="BP32" i="15"/>
  <c r="BP10" i="34"/>
  <c r="BQ27" i="10"/>
  <c r="BQ29" i="10" s="1"/>
  <c r="BP17" i="34"/>
  <c r="BP27" i="17"/>
  <c r="BP12" i="17"/>
  <c r="BJ23" i="31"/>
  <c r="BJ15" i="22"/>
  <c r="BJ17" i="22" s="1"/>
  <c r="BJ21" i="22" s="1"/>
  <c r="BO48" i="18"/>
  <c r="BO34" i="18"/>
  <c r="BO35" i="18" s="1"/>
  <c r="BO13" i="18" s="1"/>
  <c r="BO15" i="18" s="1"/>
  <c r="BO23" i="34"/>
  <c r="BL11" i="34"/>
  <c r="BL12" i="34" s="1"/>
  <c r="BO16" i="31"/>
  <c r="BP11" i="17"/>
  <c r="BP48" i="19"/>
  <c r="BL20" i="31"/>
  <c r="BL21" i="31" s="1"/>
  <c r="BL23" i="9" s="1"/>
  <c r="BM75" i="20"/>
  <c r="BO18" i="28"/>
  <c r="BN25" i="31"/>
  <c r="BN28" i="9"/>
  <c r="BN30" i="9" s="1"/>
  <c r="BO36" i="9"/>
  <c r="AB25" i="32"/>
  <c r="BP29" i="15"/>
  <c r="BP10" i="12"/>
  <c r="BP11" i="12" s="1"/>
  <c r="BO47" i="16"/>
  <c r="BO33" i="16"/>
  <c r="BO34" i="16" s="1"/>
  <c r="BO13" i="16" s="1"/>
  <c r="BO15" i="16" s="1"/>
  <c r="BP8" i="28"/>
  <c r="BP11" i="28" s="1"/>
  <c r="BP19" i="16"/>
  <c r="BP21" i="16" s="1"/>
  <c r="BP26" i="11"/>
  <c r="BP27" i="11" s="1"/>
  <c r="H20" i="36"/>
  <c r="H20" i="35"/>
  <c r="H20" i="34"/>
  <c r="H20" i="25"/>
  <c r="BO40" i="20"/>
  <c r="BO41" i="20" s="1"/>
  <c r="BO46" i="20" s="1"/>
  <c r="BO47" i="20" s="1"/>
  <c r="BO35" i="20"/>
  <c r="BO36" i="20" s="1"/>
  <c r="BP33" i="20" s="1"/>
  <c r="BO19" i="28" l="1"/>
  <c r="BO76" i="20"/>
  <c r="BO48" i="20"/>
  <c r="BO81" i="20"/>
  <c r="BO82" i="20"/>
  <c r="BK12" i="9"/>
  <c r="BK13" i="9" s="1"/>
  <c r="AA29" i="35"/>
  <c r="BP9" i="19"/>
  <c r="BP11" i="19" s="1"/>
  <c r="BP22" i="19" s="1"/>
  <c r="BP23" i="19" s="1"/>
  <c r="BP30" i="15"/>
  <c r="BP14" i="31"/>
  <c r="BQ24" i="11"/>
  <c r="BP36" i="15"/>
  <c r="BM66" i="20"/>
  <c r="BM68" i="20" s="1"/>
  <c r="BP26" i="20"/>
  <c r="BP19" i="34"/>
  <c r="BP12" i="16"/>
  <c r="BP26" i="16"/>
  <c r="BQ25" i="12"/>
  <c r="BL15" i="34"/>
  <c r="BP14" i="34"/>
  <c r="BP9" i="20"/>
  <c r="BP10" i="20" s="1"/>
  <c r="BN27" i="31"/>
  <c r="BN16" i="22"/>
  <c r="AB27" i="32"/>
  <c r="BP40" i="17"/>
  <c r="BP41" i="17" s="1"/>
  <c r="BQ11" i="13"/>
  <c r="BP29" i="13"/>
  <c r="BP31" i="13" s="1"/>
  <c r="BP14" i="13"/>
  <c r="BO24" i="34"/>
  <c r="BO17" i="31"/>
  <c r="BP11" i="16"/>
  <c r="BO18" i="31"/>
  <c r="BP11" i="18"/>
  <c r="BO25" i="34"/>
  <c r="BQ53" i="12"/>
  <c r="BQ54" i="12" s="1"/>
  <c r="BQ11" i="11"/>
  <c r="BQ12" i="11" s="1"/>
  <c r="BQ23" i="10"/>
  <c r="BQ24" i="10" s="1"/>
  <c r="H29" i="10"/>
  <c r="BM69" i="20" l="1"/>
  <c r="BM77" i="20"/>
  <c r="BM78" i="20" s="1"/>
  <c r="BK11" i="31"/>
  <c r="BK12" i="31" s="1"/>
  <c r="BL11" i="9"/>
  <c r="BK9" i="8"/>
  <c r="AA11" i="32"/>
  <c r="R11" i="33"/>
  <c r="BP42" i="17"/>
  <c r="BP33" i="17"/>
  <c r="BP46" i="17"/>
  <c r="BP47" i="17" s="1"/>
  <c r="BP27" i="18"/>
  <c r="BP28" i="18" s="1"/>
  <c r="BP40" i="18"/>
  <c r="BP41" i="18" s="1"/>
  <c r="BP15" i="31"/>
  <c r="BQ28" i="15"/>
  <c r="H53" i="12"/>
  <c r="H11" i="11"/>
  <c r="H23" i="10"/>
  <c r="BQ10" i="37"/>
  <c r="BQ24" i="12"/>
  <c r="BQ26" i="12" s="1"/>
  <c r="J10" i="38"/>
  <c r="K10" i="38"/>
  <c r="AC10" i="38"/>
  <c r="N10" i="26"/>
  <c r="S10" i="39"/>
  <c r="BP13" i="28"/>
  <c r="BP14" i="28" s="1"/>
  <c r="BP32" i="13"/>
  <c r="BP9" i="31" s="1"/>
  <c r="BQ28" i="13"/>
  <c r="BP49" i="19"/>
  <c r="BP51" i="19" s="1"/>
  <c r="BP36" i="19" s="1"/>
  <c r="BQ37" i="19" s="1"/>
  <c r="BP30" i="19"/>
  <c r="BP32" i="19" s="1"/>
  <c r="BQ16" i="19"/>
  <c r="BQ17" i="19" s="1"/>
  <c r="BQ42" i="15"/>
  <c r="BQ20" i="15"/>
  <c r="BQ25" i="11"/>
  <c r="H12" i="11"/>
  <c r="BQ16" i="37"/>
  <c r="BQ71" i="12"/>
  <c r="BQ73" i="12" s="1"/>
  <c r="BQ63" i="12"/>
  <c r="BQ65" i="12" s="1"/>
  <c r="L16" i="38"/>
  <c r="J16" i="39"/>
  <c r="J16" i="26"/>
  <c r="K16" i="38"/>
  <c r="H54" i="12"/>
  <c r="K16" i="39"/>
  <c r="K16" i="26"/>
  <c r="M16" i="39"/>
  <c r="L16" i="26"/>
  <c r="N16" i="39"/>
  <c r="O16" i="39"/>
  <c r="P16" i="39"/>
  <c r="M16" i="26"/>
  <c r="Q16" i="39"/>
  <c r="N16" i="26"/>
  <c r="R16" i="39"/>
  <c r="S16" i="39"/>
  <c r="AC16" i="38"/>
  <c r="BL26" i="34"/>
  <c r="BO21" i="28"/>
  <c r="BO22" i="28" s="1"/>
  <c r="BP39" i="16"/>
  <c r="BP40" i="16" s="1"/>
  <c r="BP20" i="20"/>
  <c r="BP21" i="20" s="1"/>
  <c r="BP34" i="20" s="1"/>
  <c r="BP14" i="20"/>
  <c r="BP15" i="20" s="1"/>
  <c r="BQ17" i="37" l="1"/>
  <c r="BQ17" i="11"/>
  <c r="BQ18" i="11" s="1"/>
  <c r="K17" i="38"/>
  <c r="AC17" i="38"/>
  <c r="N17" i="26"/>
  <c r="S17" i="39"/>
  <c r="BQ38" i="19"/>
  <c r="BQ31" i="19"/>
  <c r="H37" i="19"/>
  <c r="H31" i="19" s="1"/>
  <c r="BP16" i="28"/>
  <c r="H16" i="39"/>
  <c r="H16" i="37"/>
  <c r="H16" i="38"/>
  <c r="H16" i="26"/>
  <c r="H63" i="12"/>
  <c r="H71" i="12"/>
  <c r="H16" i="19"/>
  <c r="H42" i="15"/>
  <c r="H20" i="15"/>
  <c r="H25" i="11"/>
  <c r="BQ31" i="12"/>
  <c r="BQ33" i="12" s="1"/>
  <c r="H26" i="12"/>
  <c r="H31" i="12" s="1"/>
  <c r="BL29" i="34"/>
  <c r="BP46" i="18"/>
  <c r="BP47" i="18" s="1"/>
  <c r="BP33" i="18"/>
  <c r="BP42" i="18"/>
  <c r="BO37" i="9"/>
  <c r="BO38" i="9" s="1"/>
  <c r="BP39" i="20"/>
  <c r="BP25" i="20"/>
  <c r="BP27" i="20" s="1"/>
  <c r="BP14" i="18"/>
  <c r="BP29" i="18"/>
  <c r="BK22" i="9"/>
  <c r="BK24" i="9" s="1"/>
  <c r="AA12" i="32"/>
  <c r="R12" i="33"/>
  <c r="BP41" i="16"/>
  <c r="BP32" i="16"/>
  <c r="BP45" i="16"/>
  <c r="BP46" i="16" s="1"/>
  <c r="BQ21" i="19"/>
  <c r="BQ43" i="15"/>
  <c r="BQ45" i="15" s="1"/>
  <c r="BQ21" i="15"/>
  <c r="H17" i="19"/>
  <c r="BP48" i="17"/>
  <c r="BP34" i="17"/>
  <c r="BM20" i="31"/>
  <c r="BM21" i="31" s="1"/>
  <c r="BM23" i="9" s="1"/>
  <c r="BN75" i="20"/>
  <c r="BQ15" i="37"/>
  <c r="K15" i="38"/>
  <c r="J15" i="39"/>
  <c r="L15" i="38"/>
  <c r="S15" i="39"/>
  <c r="AC15" i="38"/>
  <c r="N15" i="26"/>
  <c r="BP19" i="31"/>
  <c r="BQ29" i="19"/>
  <c r="BP35" i="17"/>
  <c r="BP13" i="17" s="1"/>
  <c r="BP15" i="17" s="1"/>
  <c r="BM11" i="34"/>
  <c r="BM12" i="34" s="1"/>
  <c r="BQ10" i="31" l="1"/>
  <c r="K10" i="32"/>
  <c r="J10" i="33"/>
  <c r="AC10" i="32"/>
  <c r="N10" i="24"/>
  <c r="S10" i="33"/>
  <c r="BO25" i="31"/>
  <c r="BP36" i="9"/>
  <c r="BO28" i="9"/>
  <c r="BO30" i="9" s="1"/>
  <c r="H21" i="19"/>
  <c r="H43" i="15"/>
  <c r="H21" i="15"/>
  <c r="BM15" i="34"/>
  <c r="BP16" i="31"/>
  <c r="BQ11" i="17"/>
  <c r="BQ48" i="19"/>
  <c r="BP18" i="28"/>
  <c r="BN66" i="20"/>
  <c r="BN68" i="20" s="1"/>
  <c r="BP33" i="16"/>
  <c r="BP47" i="16"/>
  <c r="BQ8" i="28"/>
  <c r="BQ11" i="28" s="1"/>
  <c r="BQ19" i="16"/>
  <c r="BQ21" i="16" s="1"/>
  <c r="BQ26" i="11"/>
  <c r="BQ27" i="11" s="1"/>
  <c r="J8" i="30"/>
  <c r="J8" i="23"/>
  <c r="H18" i="11"/>
  <c r="L8" i="29"/>
  <c r="K8" i="23"/>
  <c r="M8" i="30"/>
  <c r="N8" i="30"/>
  <c r="L8" i="23"/>
  <c r="O8" i="30"/>
  <c r="M8" i="23"/>
  <c r="P8" i="30"/>
  <c r="Q8" i="30"/>
  <c r="R8" i="30"/>
  <c r="N8" i="23"/>
  <c r="S8" i="30"/>
  <c r="AC8" i="29"/>
  <c r="BK23" i="31"/>
  <c r="BK15" i="22"/>
  <c r="BK17" i="22" s="1"/>
  <c r="BK21" i="22" s="1"/>
  <c r="R23" i="33"/>
  <c r="AA23" i="32"/>
  <c r="BP22" i="34"/>
  <c r="BP34" i="16"/>
  <c r="BP13" i="16" s="1"/>
  <c r="BP15" i="16" s="1"/>
  <c r="BP40" i="20"/>
  <c r="BP35" i="20"/>
  <c r="BP36" i="20" s="1"/>
  <c r="BQ33" i="20" s="1"/>
  <c r="BP48" i="18"/>
  <c r="BP34" i="18"/>
  <c r="BP35" i="18" s="1"/>
  <c r="BP13" i="18" s="1"/>
  <c r="BP15" i="18" s="1"/>
  <c r="BQ11" i="37"/>
  <c r="BQ20" i="17"/>
  <c r="BQ22" i="17" s="1"/>
  <c r="BQ13" i="15"/>
  <c r="BQ14" i="15" s="1"/>
  <c r="BQ21" i="13"/>
  <c r="BQ23" i="13" s="1"/>
  <c r="BQ39" i="12"/>
  <c r="BQ48" i="12"/>
  <c r="BQ50" i="12" s="1"/>
  <c r="BQ17" i="9"/>
  <c r="BQ18" i="9" s="1"/>
  <c r="J11" i="39"/>
  <c r="J11" i="26"/>
  <c r="H33" i="12"/>
  <c r="L11" i="38"/>
  <c r="K11" i="26"/>
  <c r="M11" i="39"/>
  <c r="N11" i="39"/>
  <c r="L11" i="26"/>
  <c r="O11" i="39"/>
  <c r="P11" i="39"/>
  <c r="M11" i="26"/>
  <c r="Q11" i="39"/>
  <c r="N11" i="26"/>
  <c r="R11" i="39"/>
  <c r="S11" i="39"/>
  <c r="AC11" i="38"/>
  <c r="BL12" i="9"/>
  <c r="BL13" i="9" s="1"/>
  <c r="BP17" i="28"/>
  <c r="BP19" i="28" s="1"/>
  <c r="BP41" i="20"/>
  <c r="BP46" i="20" s="1"/>
  <c r="BP47" i="20" s="1"/>
  <c r="BP23" i="34"/>
  <c r="BQ10" i="34"/>
  <c r="J10" i="36"/>
  <c r="J10" i="25"/>
  <c r="K10" i="35"/>
  <c r="H38" i="19"/>
  <c r="L10" i="35"/>
  <c r="K10" i="36"/>
  <c r="K10" i="25"/>
  <c r="L10" i="36"/>
  <c r="M10" i="36"/>
  <c r="N10" i="36"/>
  <c r="L10" i="25"/>
  <c r="O10" i="36"/>
  <c r="M10" i="25"/>
  <c r="P10" i="36"/>
  <c r="Q10" i="36"/>
  <c r="R10" i="36"/>
  <c r="N10" i="25"/>
  <c r="S10" i="36"/>
  <c r="AC10" i="35"/>
  <c r="BP82" i="20" l="1"/>
  <c r="BP18" i="31"/>
  <c r="BQ11" i="18"/>
  <c r="BQ12" i="37"/>
  <c r="BQ12" i="13"/>
  <c r="BQ13" i="13" s="1"/>
  <c r="K12" i="38"/>
  <c r="J12" i="39"/>
  <c r="N12" i="26"/>
  <c r="AC12" i="38"/>
  <c r="S12" i="39"/>
  <c r="BQ26" i="20"/>
  <c r="BN77" i="20"/>
  <c r="BN78" i="20" s="1"/>
  <c r="BN69" i="20"/>
  <c r="BQ14" i="31"/>
  <c r="K14" i="32"/>
  <c r="J14" i="33"/>
  <c r="S14" i="33"/>
  <c r="AC14" i="32"/>
  <c r="N14" i="24"/>
  <c r="H10" i="36"/>
  <c r="H10" i="35"/>
  <c r="H10" i="34"/>
  <c r="H10" i="25"/>
  <c r="BQ8" i="31"/>
  <c r="J8" i="33"/>
  <c r="K8" i="32"/>
  <c r="N8" i="24"/>
  <c r="S8" i="33"/>
  <c r="AC8" i="32"/>
  <c r="BP17" i="31"/>
  <c r="BQ11" i="16"/>
  <c r="BQ19" i="34"/>
  <c r="BQ26" i="16"/>
  <c r="BQ12" i="16"/>
  <c r="L19" i="35"/>
  <c r="M19" i="35"/>
  <c r="J19" i="36"/>
  <c r="J19" i="25"/>
  <c r="K19" i="35"/>
  <c r="H21" i="16"/>
  <c r="K19" i="25"/>
  <c r="M19" i="36"/>
  <c r="N19" i="36"/>
  <c r="L19" i="25"/>
  <c r="O19" i="36"/>
  <c r="P19" i="36"/>
  <c r="M19" i="25"/>
  <c r="Q19" i="36"/>
  <c r="N19" i="25"/>
  <c r="R19" i="36"/>
  <c r="S19" i="36"/>
  <c r="AC19" i="35"/>
  <c r="BM26" i="34"/>
  <c r="BP81" i="20"/>
  <c r="BP48" i="20"/>
  <c r="BP76" i="20"/>
  <c r="BQ32" i="15"/>
  <c r="BQ15" i="15"/>
  <c r="H14" i="15"/>
  <c r="H32" i="15" s="1"/>
  <c r="BQ9" i="20"/>
  <c r="BQ10" i="20" s="1"/>
  <c r="K11" i="30"/>
  <c r="H11" i="28"/>
  <c r="H9" i="20" s="1"/>
  <c r="K11" i="23"/>
  <c r="M11" i="30"/>
  <c r="N11" i="30"/>
  <c r="L11" i="23"/>
  <c r="O11" i="30"/>
  <c r="P11" i="30"/>
  <c r="M11" i="23"/>
  <c r="Q11" i="30"/>
  <c r="N11" i="23"/>
  <c r="R11" i="30"/>
  <c r="S11" i="30"/>
  <c r="AC11" i="29"/>
  <c r="H11" i="29" s="1"/>
  <c r="H11" i="38"/>
  <c r="H11" i="37"/>
  <c r="H11" i="39"/>
  <c r="H11" i="26"/>
  <c r="H20" i="17"/>
  <c r="H13" i="15"/>
  <c r="H39" i="12"/>
  <c r="H48" i="12"/>
  <c r="H21" i="13"/>
  <c r="H17" i="9"/>
  <c r="BQ17" i="34"/>
  <c r="BQ27" i="17"/>
  <c r="BQ12" i="17"/>
  <c r="J17" i="36"/>
  <c r="J17" i="25"/>
  <c r="K17" i="36"/>
  <c r="L17" i="35"/>
  <c r="H22" i="17"/>
  <c r="K17" i="25"/>
  <c r="M17" i="36"/>
  <c r="N17" i="36"/>
  <c r="L17" i="25"/>
  <c r="O17" i="36"/>
  <c r="P17" i="36"/>
  <c r="M17" i="25"/>
  <c r="Q17" i="36"/>
  <c r="N17" i="25"/>
  <c r="R17" i="36"/>
  <c r="S17" i="36"/>
  <c r="AC17" i="35"/>
  <c r="BP24" i="34"/>
  <c r="BL11" i="31"/>
  <c r="BL12" i="31" s="1"/>
  <c r="BL22" i="9" s="1"/>
  <c r="BL24" i="9" s="1"/>
  <c r="BL9" i="8"/>
  <c r="BM11" i="9"/>
  <c r="H8" i="30"/>
  <c r="H8" i="29"/>
  <c r="H8" i="28"/>
  <c r="H8" i="23"/>
  <c r="H19" i="16"/>
  <c r="H26" i="11"/>
  <c r="BQ40" i="17"/>
  <c r="BQ41" i="17" s="1"/>
  <c r="BO27" i="31"/>
  <c r="BO16" i="22"/>
  <c r="BQ29" i="15"/>
  <c r="BQ10" i="12"/>
  <c r="BQ11" i="12" s="1"/>
  <c r="H18" i="9"/>
  <c r="BP25" i="34"/>
  <c r="BM29" i="34" l="1"/>
  <c r="BN11" i="34"/>
  <c r="BN12" i="34" s="1"/>
  <c r="AB11" i="35"/>
  <c r="BQ14" i="34"/>
  <c r="K14" i="36"/>
  <c r="J14" i="25"/>
  <c r="L14" i="35"/>
  <c r="H15" i="15"/>
  <c r="K14" i="25"/>
  <c r="M14" i="36"/>
  <c r="N14" i="36"/>
  <c r="L14" i="25"/>
  <c r="O14" i="36"/>
  <c r="P14" i="36"/>
  <c r="M14" i="25"/>
  <c r="Q14" i="36"/>
  <c r="R14" i="36"/>
  <c r="N14" i="25"/>
  <c r="S14" i="36"/>
  <c r="AC14" i="35"/>
  <c r="BN20" i="31"/>
  <c r="BN21" i="31" s="1"/>
  <c r="BO75" i="20"/>
  <c r="AB20" i="32"/>
  <c r="BQ29" i="13"/>
  <c r="BQ31" i="13" s="1"/>
  <c r="BQ32" i="13" s="1"/>
  <c r="BQ14" i="13"/>
  <c r="H13" i="13"/>
  <c r="H29" i="13" s="1"/>
  <c r="H11" i="23"/>
  <c r="BQ27" i="18"/>
  <c r="BQ28" i="18" s="1"/>
  <c r="BQ40" i="18"/>
  <c r="BQ41" i="18" s="1"/>
  <c r="BQ33" i="17"/>
  <c r="BQ42" i="17"/>
  <c r="BQ46" i="17"/>
  <c r="BQ47" i="17" s="1"/>
  <c r="H41" i="17"/>
  <c r="BP21" i="28"/>
  <c r="BP22" i="28" s="1"/>
  <c r="BL23" i="31"/>
  <c r="BL15" i="22"/>
  <c r="BL17" i="22" s="1"/>
  <c r="BL21" i="22" s="1"/>
  <c r="H11" i="30"/>
  <c r="H19" i="36"/>
  <c r="H19" i="35"/>
  <c r="H19" i="34"/>
  <c r="H19" i="25"/>
  <c r="H12" i="16"/>
  <c r="H26" i="16"/>
  <c r="H29" i="15"/>
  <c r="H10" i="12"/>
  <c r="H17" i="36"/>
  <c r="H17" i="35"/>
  <c r="H17" i="34"/>
  <c r="H17" i="25"/>
  <c r="H27" i="17"/>
  <c r="H12" i="17"/>
  <c r="BQ14" i="20"/>
  <c r="BQ15" i="20" s="1"/>
  <c r="BQ20" i="20"/>
  <c r="BQ21" i="20" s="1"/>
  <c r="H10" i="20"/>
  <c r="BQ39" i="16"/>
  <c r="BQ40" i="16" s="1"/>
  <c r="BQ9" i="19"/>
  <c r="BQ11" i="19" s="1"/>
  <c r="BQ30" i="15"/>
  <c r="BQ36" i="15" s="1"/>
  <c r="H11" i="12"/>
  <c r="BQ15" i="31" l="1"/>
  <c r="L15" i="32"/>
  <c r="N15" i="24"/>
  <c r="S15" i="33"/>
  <c r="AC15" i="32"/>
  <c r="BQ29" i="18"/>
  <c r="BQ14" i="18"/>
  <c r="H28" i="18"/>
  <c r="H14" i="18" s="1"/>
  <c r="H20" i="20"/>
  <c r="H14" i="20"/>
  <c r="BQ34" i="17"/>
  <c r="BQ48" i="17"/>
  <c r="H47" i="17"/>
  <c r="H34" i="17" s="1"/>
  <c r="BQ34" i="20"/>
  <c r="H21" i="20"/>
  <c r="H34" i="20" s="1"/>
  <c r="BQ16" i="28"/>
  <c r="K16" i="30"/>
  <c r="L16" i="29"/>
  <c r="J16" i="30"/>
  <c r="J16" i="23"/>
  <c r="H42" i="17"/>
  <c r="K16" i="23"/>
  <c r="L16" i="30"/>
  <c r="M16" i="30"/>
  <c r="N16" i="30"/>
  <c r="L16" i="23"/>
  <c r="O16" i="30"/>
  <c r="M16" i="23"/>
  <c r="P16" i="30"/>
  <c r="Q16" i="30"/>
  <c r="R16" i="30"/>
  <c r="N16" i="23"/>
  <c r="S16" i="30"/>
  <c r="AC16" i="29"/>
  <c r="BQ9" i="31"/>
  <c r="J9" i="33"/>
  <c r="S9" i="33"/>
  <c r="N9" i="24"/>
  <c r="AC9" i="32"/>
  <c r="H14" i="36"/>
  <c r="H14" i="35"/>
  <c r="H14" i="34"/>
  <c r="H14" i="25"/>
  <c r="BN15" i="34"/>
  <c r="AB12" i="35"/>
  <c r="BQ25" i="20"/>
  <c r="BQ27" i="20" s="1"/>
  <c r="BQ39" i="20"/>
  <c r="H15" i="20"/>
  <c r="BP37" i="9"/>
  <c r="BP38" i="9" s="1"/>
  <c r="BQ45" i="16"/>
  <c r="BQ46" i="16" s="1"/>
  <c r="BQ41" i="16"/>
  <c r="BQ32" i="16"/>
  <c r="H40" i="16"/>
  <c r="H33" i="17"/>
  <c r="H46" i="17"/>
  <c r="H9" i="19"/>
  <c r="H30" i="15"/>
  <c r="BQ13" i="28"/>
  <c r="BQ14" i="28" s="1"/>
  <c r="K13" i="29"/>
  <c r="J13" i="30"/>
  <c r="J13" i="23"/>
  <c r="H14" i="13"/>
  <c r="L13" i="29"/>
  <c r="K13" i="23"/>
  <c r="M13" i="30"/>
  <c r="L13" i="23"/>
  <c r="N13" i="30"/>
  <c r="O13" i="30"/>
  <c r="M13" i="23"/>
  <c r="P13" i="30"/>
  <c r="Q13" i="30"/>
  <c r="R13" i="30"/>
  <c r="N13" i="23"/>
  <c r="S13" i="30"/>
  <c r="AC13" i="29"/>
  <c r="BQ35" i="17"/>
  <c r="BO66" i="20"/>
  <c r="BO68" i="20" s="1"/>
  <c r="BQ22" i="19"/>
  <c r="BQ23" i="19" s="1"/>
  <c r="H11" i="19"/>
  <c r="H22" i="19" s="1"/>
  <c r="BQ33" i="18"/>
  <c r="BQ42" i="18"/>
  <c r="BQ46" i="18"/>
  <c r="BQ47" i="18" s="1"/>
  <c r="H41" i="18"/>
  <c r="BN23" i="9"/>
  <c r="AB21" i="32"/>
  <c r="BM12" i="9"/>
  <c r="BM13" i="9" s="1"/>
  <c r="H13" i="30" l="1"/>
  <c r="H13" i="29"/>
  <c r="H13" i="28"/>
  <c r="H13" i="23"/>
  <c r="H32" i="16"/>
  <c r="H45" i="16"/>
  <c r="BQ40" i="20"/>
  <c r="BQ41" i="20" s="1"/>
  <c r="BQ35" i="20"/>
  <c r="BQ36" i="20" s="1"/>
  <c r="H27" i="20"/>
  <c r="BQ22" i="34"/>
  <c r="L22" i="35"/>
  <c r="M22" i="35"/>
  <c r="J22" i="25"/>
  <c r="J22" i="36"/>
  <c r="H29" i="18"/>
  <c r="K22" i="35"/>
  <c r="K22" i="36"/>
  <c r="K22" i="25"/>
  <c r="L22" i="36"/>
  <c r="M22" i="36"/>
  <c r="L22" i="25"/>
  <c r="N22" i="36"/>
  <c r="O22" i="36"/>
  <c r="M22" i="25"/>
  <c r="P22" i="36"/>
  <c r="Q22" i="36"/>
  <c r="N22" i="25"/>
  <c r="R22" i="36"/>
  <c r="S22" i="36"/>
  <c r="AC22" i="35"/>
  <c r="BO69" i="20"/>
  <c r="BO77" i="20"/>
  <c r="BO78" i="20" s="1"/>
  <c r="BQ17" i="28"/>
  <c r="L17" i="29"/>
  <c r="M17" i="29"/>
  <c r="J17" i="30"/>
  <c r="J17" i="23"/>
  <c r="K17" i="29"/>
  <c r="H41" i="16"/>
  <c r="K17" i="23"/>
  <c r="L17" i="30"/>
  <c r="M17" i="30"/>
  <c r="N17" i="30"/>
  <c r="L17" i="23"/>
  <c r="O17" i="30"/>
  <c r="M17" i="23"/>
  <c r="P17" i="30"/>
  <c r="Q17" i="30"/>
  <c r="R17" i="30"/>
  <c r="N17" i="23"/>
  <c r="S17" i="30"/>
  <c r="AC17" i="29"/>
  <c r="H16" i="30"/>
  <c r="H16" i="29"/>
  <c r="H16" i="28"/>
  <c r="H16" i="23"/>
  <c r="BQ18" i="28"/>
  <c r="L18" i="29"/>
  <c r="J18" i="23"/>
  <c r="J18" i="30"/>
  <c r="H42" i="18"/>
  <c r="L18" i="30"/>
  <c r="K18" i="23"/>
  <c r="M18" i="30"/>
  <c r="L18" i="23"/>
  <c r="N18" i="30"/>
  <c r="O18" i="30"/>
  <c r="P18" i="30"/>
  <c r="M18" i="23"/>
  <c r="Q18" i="30"/>
  <c r="R18" i="30"/>
  <c r="N18" i="23"/>
  <c r="S18" i="30"/>
  <c r="AC18" i="29"/>
  <c r="BQ19" i="28"/>
  <c r="K14" i="23"/>
  <c r="H14" i="28"/>
  <c r="M14" i="30"/>
  <c r="L14" i="23"/>
  <c r="N14" i="30"/>
  <c r="O14" i="30"/>
  <c r="P14" i="30"/>
  <c r="M14" i="23"/>
  <c r="Q14" i="30"/>
  <c r="N14" i="23"/>
  <c r="R14" i="30"/>
  <c r="S14" i="30"/>
  <c r="AC14" i="29"/>
  <c r="H14" i="29" s="1"/>
  <c r="BQ47" i="16"/>
  <c r="BQ33" i="16"/>
  <c r="BQ34" i="16" s="1"/>
  <c r="H46" i="16"/>
  <c r="H33" i="16" s="1"/>
  <c r="BN26" i="34"/>
  <c r="AB15" i="35"/>
  <c r="BQ23" i="34"/>
  <c r="L23" i="35"/>
  <c r="K23" i="36"/>
  <c r="J23" i="36"/>
  <c r="J23" i="25"/>
  <c r="K23" i="35"/>
  <c r="H48" i="17"/>
  <c r="L23" i="36"/>
  <c r="K23" i="25"/>
  <c r="M23" i="36"/>
  <c r="N23" i="36"/>
  <c r="L23" i="25"/>
  <c r="O23" i="36"/>
  <c r="P23" i="36"/>
  <c r="M23" i="25"/>
  <c r="Q23" i="36"/>
  <c r="R23" i="36"/>
  <c r="N23" i="25"/>
  <c r="S23" i="36"/>
  <c r="AC23" i="35"/>
  <c r="BP25" i="31"/>
  <c r="BQ36" i="9"/>
  <c r="BP28" i="9"/>
  <c r="BP30" i="9" s="1"/>
  <c r="H33" i="18"/>
  <c r="H46" i="18"/>
  <c r="BQ13" i="17"/>
  <c r="BQ15" i="17" s="1"/>
  <c r="H35" i="17"/>
  <c r="H13" i="17" s="1"/>
  <c r="BQ48" i="18"/>
  <c r="BQ34" i="18"/>
  <c r="BQ35" i="18" s="1"/>
  <c r="H47" i="18"/>
  <c r="H34" i="18" s="1"/>
  <c r="BM11" i="31"/>
  <c r="BM12" i="31" s="1"/>
  <c r="BM22" i="9" s="1"/>
  <c r="BM24" i="9" s="1"/>
  <c r="BM9" i="8"/>
  <c r="BN11" i="9"/>
  <c r="BQ30" i="19"/>
  <c r="BQ32" i="19" s="1"/>
  <c r="BQ49" i="19"/>
  <c r="BQ51" i="19" s="1"/>
  <c r="H23" i="19"/>
  <c r="H39" i="20"/>
  <c r="H25" i="20"/>
  <c r="H14" i="23" l="1"/>
  <c r="BQ46" i="20"/>
  <c r="BQ47" i="20" s="1"/>
  <c r="H41" i="20"/>
  <c r="H46" i="20" s="1"/>
  <c r="BQ13" i="16"/>
  <c r="BQ15" i="16" s="1"/>
  <c r="H34" i="16"/>
  <c r="H13" i="16" s="1"/>
  <c r="BQ25" i="34"/>
  <c r="K25" i="36"/>
  <c r="J25" i="36"/>
  <c r="J25" i="25"/>
  <c r="K25" i="35"/>
  <c r="H48" i="18"/>
  <c r="L25" i="35"/>
  <c r="L25" i="36"/>
  <c r="K25" i="25"/>
  <c r="M25" i="36"/>
  <c r="N25" i="36"/>
  <c r="L25" i="25"/>
  <c r="O25" i="36"/>
  <c r="M25" i="25"/>
  <c r="P25" i="36"/>
  <c r="Q25" i="36"/>
  <c r="R25" i="36"/>
  <c r="N25" i="25"/>
  <c r="S25" i="36"/>
  <c r="AC25" i="35"/>
  <c r="BQ36" i="19"/>
  <c r="H51" i="19"/>
  <c r="H36" i="19" s="1"/>
  <c r="BQ13" i="18"/>
  <c r="BQ15" i="18" s="1"/>
  <c r="H35" i="18"/>
  <c r="H13" i="18" s="1"/>
  <c r="H23" i="36"/>
  <c r="H23" i="35"/>
  <c r="H23" i="34"/>
  <c r="H23" i="25"/>
  <c r="H18" i="30"/>
  <c r="H18" i="29"/>
  <c r="H18" i="28"/>
  <c r="H18" i="23"/>
  <c r="H30" i="19"/>
  <c r="H49" i="19"/>
  <c r="BQ82" i="20"/>
  <c r="L19" i="29"/>
  <c r="K19" i="30"/>
  <c r="K19" i="23"/>
  <c r="H19" i="28"/>
  <c r="H82" i="20" s="1"/>
  <c r="M19" i="30"/>
  <c r="L19" i="23"/>
  <c r="N19" i="30"/>
  <c r="O19" i="30"/>
  <c r="M19" i="23"/>
  <c r="P19" i="30"/>
  <c r="Q19" i="30"/>
  <c r="N19" i="23"/>
  <c r="R19" i="30"/>
  <c r="S19" i="30"/>
  <c r="AC19" i="29"/>
  <c r="BQ19" i="31"/>
  <c r="J19" i="33"/>
  <c r="L19" i="32"/>
  <c r="S19" i="33"/>
  <c r="N19" i="24"/>
  <c r="AC19" i="32"/>
  <c r="BQ24" i="34"/>
  <c r="J24" i="36"/>
  <c r="J24" i="25"/>
  <c r="H47" i="16"/>
  <c r="K24" i="36"/>
  <c r="L24" i="35"/>
  <c r="L24" i="36"/>
  <c r="K24" i="25"/>
  <c r="M24" i="36"/>
  <c r="N24" i="36"/>
  <c r="L24" i="25"/>
  <c r="O24" i="36"/>
  <c r="P24" i="36"/>
  <c r="M24" i="25"/>
  <c r="Q24" i="36"/>
  <c r="N24" i="25"/>
  <c r="R24" i="36"/>
  <c r="S24" i="36"/>
  <c r="AC24" i="35"/>
  <c r="BN29" i="34"/>
  <c r="AB26" i="35"/>
  <c r="BQ16" i="31"/>
  <c r="L16" i="32"/>
  <c r="S16" i="33"/>
  <c r="AC16" i="32"/>
  <c r="N16" i="24"/>
  <c r="BO20" i="31"/>
  <c r="BO21" i="31" s="1"/>
  <c r="BO23" i="9" s="1"/>
  <c r="BP75" i="20"/>
  <c r="BM23" i="31"/>
  <c r="BM15" i="22"/>
  <c r="BM17" i="22" s="1"/>
  <c r="BM21" i="22" s="1"/>
  <c r="BP27" i="31"/>
  <c r="BP16" i="22"/>
  <c r="H17" i="30"/>
  <c r="H17" i="29"/>
  <c r="H17" i="28"/>
  <c r="H17" i="23"/>
  <c r="BO11" i="34"/>
  <c r="BO12" i="34" s="1"/>
  <c r="H22" i="36"/>
  <c r="H22" i="35"/>
  <c r="H22" i="34"/>
  <c r="H22" i="25"/>
  <c r="H40" i="20"/>
  <c r="H35" i="20"/>
  <c r="H14" i="30"/>
  <c r="BP66" i="20" l="1"/>
  <c r="BP68" i="20" s="1"/>
  <c r="H19" i="23"/>
  <c r="BQ18" i="31"/>
  <c r="J18" i="33"/>
  <c r="N18" i="24"/>
  <c r="S18" i="33"/>
  <c r="AC18" i="32"/>
  <c r="BQ17" i="31"/>
  <c r="J17" i="33"/>
  <c r="AC17" i="32"/>
  <c r="S17" i="33"/>
  <c r="N17" i="24"/>
  <c r="BO15" i="34"/>
  <c r="BN12" i="9"/>
  <c r="BN13" i="9" s="1"/>
  <c r="AB29" i="35"/>
  <c r="H24" i="35"/>
  <c r="H24" i="36"/>
  <c r="H24" i="34"/>
  <c r="H24" i="25"/>
  <c r="H19" i="30"/>
  <c r="H25" i="36"/>
  <c r="H25" i="34"/>
  <c r="H25" i="35"/>
  <c r="H25" i="25"/>
  <c r="H19" i="29"/>
  <c r="BQ76" i="20"/>
  <c r="BQ48" i="20"/>
  <c r="BQ81" i="20"/>
  <c r="F83" i="20" s="1"/>
  <c r="H47" i="20"/>
  <c r="BQ21" i="28" l="1"/>
  <c r="BQ22" i="28" s="1"/>
  <c r="K21" i="30"/>
  <c r="J21" i="30"/>
  <c r="J21" i="23"/>
  <c r="K21" i="29"/>
  <c r="H48" i="20"/>
  <c r="L21" i="29"/>
  <c r="K21" i="23"/>
  <c r="L21" i="30"/>
  <c r="M21" i="30"/>
  <c r="N21" i="30"/>
  <c r="L21" i="23"/>
  <c r="O21" i="30"/>
  <c r="M21" i="23"/>
  <c r="P21" i="30"/>
  <c r="Q21" i="30"/>
  <c r="R21" i="30"/>
  <c r="N21" i="23"/>
  <c r="S21" i="30"/>
  <c r="AC21" i="29"/>
  <c r="BO26" i="34"/>
  <c r="H81" i="20"/>
  <c r="H76" i="20"/>
  <c r="BN11" i="31"/>
  <c r="BN12" i="31" s="1"/>
  <c r="BN9" i="8"/>
  <c r="BO11" i="9"/>
  <c r="AB11" i="32"/>
  <c r="BP77" i="20"/>
  <c r="BP78" i="20" s="1"/>
  <c r="BP69" i="20"/>
  <c r="H21" i="30" l="1"/>
  <c r="H21" i="28"/>
  <c r="H21" i="29"/>
  <c r="H21" i="23"/>
  <c r="BO29" i="34"/>
  <c r="BP11" i="34"/>
  <c r="BP12" i="34" s="1"/>
  <c r="BP20" i="31"/>
  <c r="BP21" i="31" s="1"/>
  <c r="BP23" i="9" s="1"/>
  <c r="BQ75" i="20"/>
  <c r="BN22" i="9"/>
  <c r="BN24" i="9" s="1"/>
  <c r="AB12" i="32"/>
  <c r="BQ37" i="9"/>
  <c r="BQ38" i="9" s="1"/>
  <c r="L22" i="29"/>
  <c r="K22" i="30"/>
  <c r="J22" i="30"/>
  <c r="J22" i="23"/>
  <c r="H22" i="28"/>
  <c r="H37" i="9" s="1"/>
  <c r="L22" i="30"/>
  <c r="K22" i="23"/>
  <c r="M22" i="30"/>
  <c r="L22" i="23"/>
  <c r="N22" i="30"/>
  <c r="O22" i="30"/>
  <c r="P22" i="30"/>
  <c r="M22" i="23"/>
  <c r="Q22" i="30"/>
  <c r="R22" i="30"/>
  <c r="N22" i="23"/>
  <c r="S22" i="30"/>
  <c r="AC22" i="29"/>
  <c r="H22" i="29" l="1"/>
  <c r="BP15" i="34"/>
  <c r="BQ25" i="31"/>
  <c r="BQ28" i="9"/>
  <c r="BQ30" i="9" s="1"/>
  <c r="J25" i="33"/>
  <c r="L25" i="32"/>
  <c r="N25" i="24"/>
  <c r="S25" i="33"/>
  <c r="AC25" i="32"/>
  <c r="BN23" i="31"/>
  <c r="BN15" i="22"/>
  <c r="BN17" i="22" s="1"/>
  <c r="BN21" i="22" s="1"/>
  <c r="AB23" i="32"/>
  <c r="BO12" i="9"/>
  <c r="BO13" i="9" s="1"/>
  <c r="H22" i="23"/>
  <c r="BQ66" i="20"/>
  <c r="BQ68" i="20" s="1"/>
  <c r="H22" i="30"/>
  <c r="BO11" i="31" l="1"/>
  <c r="BO12" i="31" s="1"/>
  <c r="BO22" i="9" s="1"/>
  <c r="BO24" i="9" s="1"/>
  <c r="BP11" i="9"/>
  <c r="BO9" i="8"/>
  <c r="BQ27" i="31"/>
  <c r="BQ16" i="22"/>
  <c r="K27" i="32"/>
  <c r="J27" i="33"/>
  <c r="AC27" i="32"/>
  <c r="N27" i="24"/>
  <c r="S27" i="33"/>
  <c r="BP26" i="34"/>
  <c r="BQ77" i="20"/>
  <c r="BQ78" i="20" s="1"/>
  <c r="BQ69" i="20"/>
  <c r="H68" i="20"/>
  <c r="H77" i="20" s="1"/>
  <c r="BP29" i="34" l="1"/>
  <c r="BQ11" i="34"/>
  <c r="BQ12" i="34" s="1"/>
  <c r="K11" i="36"/>
  <c r="J11" i="36"/>
  <c r="J11" i="25"/>
  <c r="H69" i="20"/>
  <c r="L11" i="35"/>
  <c r="K11" i="25"/>
  <c r="L11" i="36"/>
  <c r="M11" i="36"/>
  <c r="L11" i="25"/>
  <c r="N11" i="36"/>
  <c r="O11" i="36"/>
  <c r="M11" i="25"/>
  <c r="P11" i="36"/>
  <c r="Q11" i="36"/>
  <c r="R11" i="36"/>
  <c r="N11" i="25"/>
  <c r="S11" i="36"/>
  <c r="AC11" i="35"/>
  <c r="BQ20" i="31"/>
  <c r="BQ21" i="31" s="1"/>
  <c r="K20" i="32"/>
  <c r="J20" i="33"/>
  <c r="N20" i="24"/>
  <c r="AC20" i="32"/>
  <c r="S20" i="33"/>
  <c r="BO23" i="31"/>
  <c r="BO15" i="22"/>
  <c r="BO17" i="22" s="1"/>
  <c r="BO21" i="22" s="1"/>
  <c r="H11" i="36" l="1"/>
  <c r="H11" i="35"/>
  <c r="H11" i="34"/>
  <c r="H11" i="25"/>
  <c r="BQ23" i="9"/>
  <c r="K21" i="32"/>
  <c r="J21" i="33"/>
  <c r="S21" i="33"/>
  <c r="N21" i="24"/>
  <c r="AC21" i="32"/>
  <c r="BQ15" i="34"/>
  <c r="J12" i="36"/>
  <c r="J12" i="25"/>
  <c r="H12" i="34"/>
  <c r="K12" i="35"/>
  <c r="K12" i="36"/>
  <c r="K12" i="25"/>
  <c r="L12" i="36"/>
  <c r="M12" i="36"/>
  <c r="N12" i="36"/>
  <c r="L12" i="25"/>
  <c r="O12" i="36"/>
  <c r="P12" i="36"/>
  <c r="M12" i="25"/>
  <c r="Q12" i="36"/>
  <c r="N12" i="25"/>
  <c r="R12" i="36"/>
  <c r="S12" i="36"/>
  <c r="AC12" i="35"/>
  <c r="BP12" i="9"/>
  <c r="BP13" i="9" s="1"/>
  <c r="H12" i="35" l="1"/>
  <c r="H12" i="25"/>
  <c r="H12" i="36"/>
  <c r="BQ26" i="34"/>
  <c r="J15" i="35"/>
  <c r="K15" i="35"/>
  <c r="J15" i="25"/>
  <c r="J15" i="36"/>
  <c r="H15" i="34"/>
  <c r="L15" i="35"/>
  <c r="K15" i="36"/>
  <c r="L15" i="36"/>
  <c r="K15" i="25"/>
  <c r="M15" i="36"/>
  <c r="L15" i="25"/>
  <c r="N15" i="36"/>
  <c r="O15" i="36"/>
  <c r="P15" i="36"/>
  <c r="M15" i="25"/>
  <c r="Q15" i="36"/>
  <c r="R15" i="36"/>
  <c r="N15" i="25"/>
  <c r="S15" i="36"/>
  <c r="AC15" i="35"/>
  <c r="BP11" i="31"/>
  <c r="BP12" i="31" s="1"/>
  <c r="BP22" i="9" s="1"/>
  <c r="BP24" i="9" s="1"/>
  <c r="BP9" i="8"/>
  <c r="BQ11" i="9"/>
  <c r="H15" i="36" l="1"/>
  <c r="BP23" i="31"/>
  <c r="BP15" i="22"/>
  <c r="BP17" i="22" s="1"/>
  <c r="BP21" i="22" s="1"/>
  <c r="H15" i="25"/>
  <c r="H15" i="35"/>
  <c r="BQ29" i="34"/>
  <c r="J26" i="36"/>
  <c r="J26" i="25"/>
  <c r="H26" i="34"/>
  <c r="K26" i="35"/>
  <c r="L26" i="35"/>
  <c r="K26" i="36"/>
  <c r="L26" i="36"/>
  <c r="K26" i="25"/>
  <c r="M26" i="36"/>
  <c r="N26" i="36"/>
  <c r="L26" i="25"/>
  <c r="O26" i="36"/>
  <c r="M26" i="25"/>
  <c r="P26" i="36"/>
  <c r="Q26" i="36"/>
  <c r="R26" i="36"/>
  <c r="N26" i="25"/>
  <c r="S26" i="36"/>
  <c r="AC26" i="35"/>
  <c r="H26" i="25" l="1"/>
  <c r="H26" i="36"/>
  <c r="BQ12" i="9"/>
  <c r="BQ13" i="9" s="1"/>
  <c r="L29" i="35"/>
  <c r="J29" i="36"/>
  <c r="J29" i="25"/>
  <c r="H29" i="34"/>
  <c r="H12" i="9" s="1"/>
  <c r="K29" i="36"/>
  <c r="K29" i="25"/>
  <c r="L29" i="36"/>
  <c r="M29" i="36"/>
  <c r="L29" i="25"/>
  <c r="N29" i="36"/>
  <c r="O29" i="36"/>
  <c r="P29" i="36"/>
  <c r="M29" i="25"/>
  <c r="Q29" i="36"/>
  <c r="R29" i="36"/>
  <c r="N29" i="25"/>
  <c r="S29" i="36"/>
  <c r="AC29" i="35"/>
  <c r="H26" i="35"/>
  <c r="H29" i="25" l="1"/>
  <c r="H29" i="36"/>
  <c r="H29" i="35"/>
  <c r="BQ11" i="31"/>
  <c r="BQ12" i="31" s="1"/>
  <c r="BQ9" i="8"/>
  <c r="F10" i="8" s="1"/>
  <c r="J11" i="33"/>
  <c r="AC11" i="32"/>
  <c r="S11" i="33"/>
  <c r="N11" i="24"/>
  <c r="F8" i="42" l="1"/>
  <c r="F8" i="40"/>
  <c r="F8" i="41"/>
  <c r="F8" i="27"/>
  <c r="BQ22" i="9"/>
  <c r="BQ24" i="9" s="1"/>
  <c r="J12" i="33"/>
  <c r="L12" i="32"/>
  <c r="S12" i="33"/>
  <c r="AC12" i="32"/>
  <c r="N12" i="24"/>
  <c r="BQ23" i="31" l="1"/>
  <c r="BQ15" i="22"/>
  <c r="BQ17" i="22" s="1"/>
  <c r="BQ21" i="22" s="1"/>
  <c r="F22" i="22" s="1"/>
  <c r="F10" i="22" s="1"/>
  <c r="F11" i="22" s="1"/>
  <c r="F2" i="4" s="1"/>
  <c r="K23" i="32"/>
  <c r="J23" i="33"/>
  <c r="N23" i="24"/>
  <c r="AC23" i="32"/>
  <c r="S23" i="33"/>
  <c r="F2" i="42" l="1"/>
  <c r="F2" i="39"/>
  <c r="F2" i="38"/>
  <c r="F2" i="43"/>
  <c r="F2" i="40"/>
  <c r="F2" i="37"/>
  <c r="F2" i="41"/>
  <c r="F2" i="36"/>
  <c r="F2" i="35"/>
  <c r="F2" i="34"/>
  <c r="F2" i="32"/>
  <c r="F2" i="33"/>
  <c r="F2" i="30"/>
  <c r="F2" i="31"/>
  <c r="F2" i="29"/>
  <c r="F2" i="28"/>
  <c r="F2" i="27"/>
  <c r="F2" i="22"/>
  <c r="F2" i="26"/>
  <c r="F2" i="25"/>
  <c r="F2" i="21"/>
  <c r="F2" i="24"/>
  <c r="F2" i="23"/>
  <c r="F2" i="19"/>
  <c r="F2" i="18"/>
  <c r="F2" i="20"/>
  <c r="F2" i="17"/>
  <c r="F2" i="16"/>
  <c r="F2" i="14"/>
  <c r="F2" i="15"/>
  <c r="F2" i="13"/>
  <c r="F2" i="12"/>
  <c r="F2" i="11"/>
  <c r="F2" i="10"/>
  <c r="F2" i="8"/>
  <c r="F2" i="9"/>
  <c r="F2" i="7"/>
  <c r="F2" i="6"/>
  <c r="F2" i="5"/>
</calcChain>
</file>

<file path=xl/sharedStrings.xml><?xml version="1.0" encoding="utf-8"?>
<sst xmlns="http://schemas.openxmlformats.org/spreadsheetml/2006/main" count="1157" uniqueCount="352">
  <si>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</si>
  <si>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</si>
  <si>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</si>
  <si>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</si>
  <si>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</si>
  <si>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</si>
  <si>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</si>
  <si>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</si>
  <si>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</si>
  <si>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</si>
  <si>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</si>
  <si>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</si>
  <si>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</si>
  <si>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</si>
  <si>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</si>
  <si>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</si>
  <si>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</si>
  <si>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</si>
  <si>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</si>
  <si>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</si>
  <si>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</si>
  <si>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</si>
  <si>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</si>
  <si>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</si>
  <si>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</si>
  <si>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</si>
  <si>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</si>
  <si>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</si>
  <si>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</si>
  <si>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</si>
  <si>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</si>
  <si>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</si>
  <si>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</si>
  <si>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</si>
  <si>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</si>
  <si>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</si>
  <si>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</si>
  <si>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</si>
  <si>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</si>
  <si>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</si>
  <si>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</si>
  <si>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</si>
  <si>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</si>
  <si>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</si>
  <si>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</si>
  <si>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</si>
  <si>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</si>
  <si>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</si>
  <si>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</si>
  <si>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</si>
  <si>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</si>
  <si>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</si>
  <si>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STF Units ordered</t>
  </si>
  <si>
    <t>HEADERS</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</si>
  <si>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</si>
  <si>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</si>
  <si>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</si>
  <si>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</si>
  <si>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</si>
  <si>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</si>
  <si>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</si>
  <si>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</si>
  <si>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</si>
  <si>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</si>
  <si>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</si>
  <si>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</si>
  <si>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</si>
  <si>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</si>
  <si>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</si>
  <si>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</si>
  <si>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</si>
  <si>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</si>
  <si>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</si>
  <si>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</si>
  <si>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</si>
  <si>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</si>
  <si>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</si>
  <si>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</si>
  <si>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</si>
  <si>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</si>
  <si>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New customer orders</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</si>
  <si>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</si>
  <si>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</si>
  <si>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</si>
  <si>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</si>
  <si>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</si>
  <si>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</si>
  <si>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</si>
  <si>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</si>
  <si>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</si>
  <si>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</si>
  <si>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</si>
  <si>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</si>
  <si>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</si>
  <si>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</si>
  <si>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</si>
  <si>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</si>
  <si>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</si>
  <si>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</si>
  <si>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</si>
  <si>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</si>
  <si>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</si>
  <si>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EQUITY</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</si>
  <si>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</si>
  <si>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</si>
  <si>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</si>
  <si>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</si>
  <si>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</si>
  <si>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</si>
  <si>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</si>
  <si>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</si>
  <si>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</si>
  <si>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</si>
  <si>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</si>
  <si>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</si>
  <si>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</si>
  <si>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</si>
  <si>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</si>
  <si>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</si>
  <si>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</si>
  <si>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</si>
  <si>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</si>
  <si>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</si>
  <si>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</si>
  <si>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</si>
  <si>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</si>
  <si>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</si>
  <si>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</si>
  <si>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</si>
  <si>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</si>
  <si>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</si>
  <si>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</si>
  <si>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</si>
  <si>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</si>
  <si>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</si>
  <si>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</si>
  <si>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</si>
  <si>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</si>
  <si>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</si>
  <si>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</si>
  <si>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</si>
  <si>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</si>
  <si>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</si>
  <si>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</si>
  <si>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</si>
  <si>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</si>
  <si>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</si>
  <si>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</si>
  <si>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</si>
  <si>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</si>
  <si>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</si>
  <si>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</si>
  <si>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</si>
  <si>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Total Units retired BEG</t>
  </si>
  <si>
    <t>Cash out on Operating Expense POS</t>
  </si>
  <si>
    <t>Corporation tax creditor BEG</t>
  </si>
  <si>
    <t>Date Calculation</t>
  </si>
  <si>
    <t>&lt;INSERT LOGO HERE&gt;</t>
  </si>
  <si>
    <t>vw</t>
  </si>
  <si>
    <t>Base case</t>
  </si>
  <si>
    <t>Where</t>
  </si>
  <si>
    <t>EXPENSE</t>
  </si>
  <si>
    <t>Depreciation Term</t>
  </si>
  <si>
    <t>Opening Units in use</t>
  </si>
  <si>
    <t>Opening Cash</t>
  </si>
  <si>
    <t>SUPPLY CHAIN FINANCE</t>
  </si>
  <si>
    <t>STF New Customer orders</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</si>
  <si>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</si>
  <si>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</si>
  <si>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</si>
  <si>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</si>
  <si>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</si>
  <si>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</si>
  <si>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</si>
  <si>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</si>
  <si>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</si>
  <si>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</si>
  <si>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</si>
  <si>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</si>
  <si>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</si>
  <si>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</si>
  <si>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</si>
  <si>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</si>
  <si>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</si>
  <si>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</si>
  <si>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</si>
  <si>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</si>
  <si>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</si>
  <si>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</si>
  <si>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</si>
  <si>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</si>
  <si>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</si>
  <si>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</si>
  <si>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</si>
  <si>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</si>
  <si>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</si>
  <si>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</si>
  <si>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</si>
  <si>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</si>
  <si>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</si>
  <si>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</si>
  <si>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</si>
  <si>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</si>
  <si>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</si>
  <si>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</si>
  <si>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</si>
  <si>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</si>
  <si>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</si>
  <si>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</si>
  <si>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</si>
  <si>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</si>
  <si>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</si>
  <si>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</si>
  <si>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</si>
  <si>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</si>
  <si>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</si>
  <si>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</si>
  <si>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</si>
  <si>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</si>
  <si>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</si>
  <si>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</si>
  <si>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</si>
  <si>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Total Units retired</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</si>
  <si>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</si>
  <si>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</si>
  <si>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</si>
  <si>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</si>
  <si>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</si>
  <si>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</si>
  <si>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</si>
  <si>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</si>
  <si>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</si>
  <si>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</si>
  <si>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Total Units retired</t>
  </si>
  <si>
    <t>Opening Creditors</t>
  </si>
  <si>
    <t>VAT return this period every x periods</t>
  </si>
  <si>
    <t>Tax losses carried forward - initial balance</t>
  </si>
  <si>
    <t>INPUTS</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</si>
  <si>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</si>
  <si>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</si>
  <si>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</si>
  <si>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</si>
  <si>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</si>
  <si>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</si>
  <si>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</si>
  <si>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Order Quantity</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</si>
  <si>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</si>
  <si>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</si>
  <si>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</si>
  <si>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</si>
  <si>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</si>
  <si>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</si>
  <si>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</si>
  <si>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</si>
  <si>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</si>
  <si>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</si>
  <si>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</si>
  <si>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Customer Retention</t>
  </si>
  <si>
    <t>GBP</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</si>
  <si>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</si>
  <si>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</si>
  <si>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</si>
  <si>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</si>
  <si>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</si>
  <si>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</si>
  <si>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</si>
  <si>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</si>
  <si>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</si>
  <si>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</si>
  <si>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</si>
  <si>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</si>
  <si>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</si>
  <si>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</si>
  <si>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</si>
  <si>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</si>
  <si>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</si>
  <si>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</si>
  <si>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</si>
  <si>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</si>
  <si>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</si>
  <si>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</si>
  <si>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TIME</t>
  </si>
  <si>
    <t>Monthly Growth Rate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</si>
  <si>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</si>
  <si>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</si>
  <si>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</si>
  <si>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</si>
  <si>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</si>
  <si>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</si>
  <si>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</si>
  <si>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</si>
  <si>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</si>
  <si>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</si>
  <si>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</si>
  <si>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</si>
  <si>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</si>
  <si>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</si>
  <si>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</si>
  <si>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</si>
  <si>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</si>
  <si>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</si>
  <si>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</si>
  <si>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</si>
  <si>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</si>
  <si>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</si>
  <si>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</si>
  <si>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</si>
  <si>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</si>
  <si>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</si>
  <si>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</si>
  <si>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</si>
  <si>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</si>
  <si>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</si>
  <si>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Customer payment terms (months)</t>
  </si>
  <si>
    <t>Fixed Operating Cost Growth Rate escalation frequency</t>
  </si>
  <si>
    <t>Variable Operating Costs as a % of sales</t>
  </si>
  <si>
    <t>Invoice Finance Advance %</t>
  </si>
  <si>
    <t>Start date</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</si>
  <si>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</si>
  <si>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</si>
  <si>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</si>
  <si>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</si>
  <si>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</si>
  <si>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</si>
  <si>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</si>
  <si>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</si>
  <si>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</si>
  <si>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</si>
  <si>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</si>
  <si>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</si>
  <si>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</si>
  <si>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</si>
  <si>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</si>
  <si>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</si>
  <si>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</si>
  <si>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</si>
  <si>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</si>
  <si>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</si>
  <si>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</si>
  <si>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</si>
  <si>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</si>
  <si>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STF Units delivered</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</si>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</sst>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s>
  <fonts count="52">
    <font>
      <sz val="8"/>
      <color theme="1"/>
      <name val="Tahoma"/>
      <family val="2"/>
    </font>
    <font>
      <sz val="10"/>
      <name val="Arial"/>
      <family val="2"/>
    </font>
    <font>
      <sz val="11"/>
      <color theme="1"/>
      <name val="Calibri"/>
      <family val="2"/>
      <scheme val="minor"/>
    </font>
    <font>
      <u/>
      <sz val="8"/>
      <color theme="10"/>
      <name val="Tahoma"/>
      <family val="2"/>
    </font>
    <font>
      <sz val="10"/>
      <color rgb="FF000000"/>
      <name val="Arial"/>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u/>
      <sz val="10"/>
      <name val="Arial"/>
      <family val="2"/>
    </font>
    <font>
      <sz val="16"/>
      <color indexed="12"/>
      <name val="Arial"/>
      <family val="2"/>
    </font>
    <font>
      <b/>
      <sz val="10"/>
      <color rgb="FF00000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0"/>
      <color theme="0" tint="-0.24994659260841701"/>
      <name val="Wingdings 3"/>
      <family val="1"/>
      <charset val="2"/>
    </font>
    <font>
      <b/>
      <sz val="18"/>
      <name val="Circular Pro Black"/>
      <family val="2"/>
    </font>
    <font>
      <b/>
      <sz val="12"/>
      <name val="Arial"/>
      <family val="2"/>
    </font>
    <font>
      <sz val="10"/>
      <color rgb="FF00B050"/>
      <name val="Arial"/>
      <family val="2"/>
    </font>
    <font>
      <sz val="12"/>
      <color theme="1"/>
      <name val="Times New Roman"/>
      <family val="1"/>
    </font>
    <font>
      <sz val="11"/>
      <color theme="1"/>
      <name val="Arial"/>
      <family val="2"/>
    </font>
    <font>
      <b/>
      <u/>
      <sz val="12"/>
      <color rgb="FF00B050"/>
      <name val="Arial"/>
      <family val="2"/>
    </font>
    <font>
      <sz val="10"/>
      <color indexed="12"/>
      <name val="Arial"/>
      <family val="2"/>
    </font>
    <font>
      <sz val="8"/>
      <name val="Arial"/>
      <family val="2"/>
    </font>
    <font>
      <sz val="11"/>
      <name val="Calibri"/>
      <family val="2"/>
      <scheme val="minor"/>
    </font>
    <font>
      <sz val="10"/>
      <color theme="1"/>
      <name val="Times New Roman"/>
      <family val="1"/>
    </font>
    <font>
      <u/>
      <sz val="12"/>
      <color rgb="FF0000FF"/>
      <name val="Arial"/>
      <family val="2"/>
    </font>
    <font>
      <u/>
      <sz val="12"/>
      <color rgb="FF00B050"/>
      <name val="Arial"/>
      <family val="2"/>
    </font>
    <font>
      <sz val="10"/>
      <name val="Circular Pro Bold"/>
      <family val="2"/>
    </font>
    <font>
      <b/>
      <sz val="10"/>
      <color theme="1"/>
      <name val="Arial"/>
      <family val="2"/>
    </font>
    <font>
      <sz val="10"/>
      <color indexed="10"/>
      <name val="Arial"/>
      <family val="2"/>
    </font>
    <font>
      <sz val="16"/>
      <color theme="0" tint="-0.24994659260841701"/>
      <name val="Arial"/>
      <family val="2"/>
    </font>
    <font>
      <sz val="10"/>
      <color theme="0" tint="-0.24991607409894101"/>
      <name val="Arial"/>
      <family val="2"/>
    </font>
    <font>
      <sz val="18"/>
      <name val="Arial"/>
      <family val="2"/>
    </font>
    <font>
      <b/>
      <u/>
      <sz val="14"/>
      <color theme="1"/>
      <name val="Times New Roman"/>
      <family val="1"/>
    </font>
    <font>
      <u/>
      <sz val="10"/>
      <color theme="0" tint="-0.24994659260841701"/>
      <name val="Arial"/>
      <family val="2"/>
    </font>
    <font>
      <sz val="8"/>
      <color theme="1"/>
      <name val="Tahoma"/>
      <family val="2"/>
    </font>
  </fonts>
  <fills count="13">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s>
  <borders count="12">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right/>
      <top/>
      <bottom style="thin">
        <color indexed="64"/>
      </bottom>
      <diagonal/>
    </border>
  </borders>
  <cellStyleXfs count="35">
    <xf numFmtId="165" fontId="0" fillId="0" borderId="0" applyFont="0" applyFill="0" applyBorder="0" applyProtection="0">
      <alignment vertical="top"/>
    </xf>
    <xf numFmtId="165" fontId="1" fillId="0" borderId="0" applyBorder="0">
      <alignment vertical="top"/>
    </xf>
    <xf numFmtId="169" fontId="1" fillId="0" borderId="0" applyBorder="0">
      <alignment vertical="top"/>
    </xf>
    <xf numFmtId="165" fontId="1" fillId="0" borderId="0" applyBorder="0">
      <alignment vertical="top"/>
    </xf>
    <xf numFmtId="167" fontId="1" fillId="0" borderId="0" applyBorder="0">
      <alignment vertical="top"/>
    </xf>
    <xf numFmtId="166" fontId="1" fillId="0" borderId="0" applyFont="0" applyFill="0" applyBorder="0" applyProtection="0">
      <alignment vertical="top"/>
    </xf>
    <xf numFmtId="170" fontId="1" fillId="0" borderId="0" applyFont="0" applyFill="0" applyBorder="0" applyProtection="0">
      <alignment vertical="top"/>
    </xf>
    <xf numFmtId="170" fontId="1" fillId="0" borderId="0" applyFont="0" applyFill="0" applyBorder="0" applyProtection="0">
      <alignment vertical="top"/>
    </xf>
    <xf numFmtId="167" fontId="1" fillId="0" borderId="0" applyFont="0" applyFill="0" applyBorder="0" applyProtection="0">
      <alignment vertical="top"/>
    </xf>
    <xf numFmtId="167" fontId="1" fillId="0" borderId="0" applyFont="0" applyFill="0" applyBorder="0" applyProtection="0">
      <alignment vertical="top"/>
    </xf>
    <xf numFmtId="179" fontId="1" fillId="0" borderId="0" applyFont="0" applyFill="0" applyBorder="0" applyProtection="0">
      <alignment vertical="top"/>
    </xf>
    <xf numFmtId="168" fontId="2" fillId="0" borderId="0" applyFont="0" applyFill="0" applyBorder="0" applyProtection="0">
      <alignment vertical="top"/>
    </xf>
    <xf numFmtId="168" fontId="1" fillId="0" borderId="0" applyFont="0" applyFill="0" applyBorder="0" applyProtection="0">
      <alignment vertical="top"/>
    </xf>
    <xf numFmtId="0" fontId="3" fillId="0" borderId="0" applyNumberFormat="0" applyFill="0" applyBorder="0" applyAlignment="0" applyProtection="0"/>
    <xf numFmtId="169" fontId="4" fillId="2" borderId="1" applyProtection="0">
      <alignment vertical="top"/>
    </xf>
    <xf numFmtId="165" fontId="4" fillId="2" borderId="1" applyProtection="0">
      <alignment vertical="top"/>
    </xf>
    <xf numFmtId="164" fontId="4" fillId="2" borderId="1" applyProtection="0">
      <alignment vertical="top"/>
    </xf>
    <xf numFmtId="165" fontId="4" fillId="2" borderId="1" applyProtection="0">
      <alignment vertical="top"/>
    </xf>
    <xf numFmtId="165" fontId="1" fillId="0" borderId="0" applyFont="0" applyFill="0" applyBorder="0" applyProtection="0">
      <alignment vertical="top"/>
    </xf>
    <xf numFmtId="165" fontId="1" fillId="0" borderId="0" applyFont="0" applyFill="0" applyBorder="0"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1" fillId="0" borderId="0" applyFont="0" applyFill="0" applyBorder="0" applyProtection="0">
      <alignment vertical="top"/>
    </xf>
    <xf numFmtId="178" fontId="51" fillId="0" borderId="0" applyFont="0" applyFill="0" applyBorder="0" applyProtection="0">
      <alignment vertical="top"/>
    </xf>
    <xf numFmtId="169" fontId="1" fillId="0" borderId="0" applyFont="0" applyFill="0" applyBorder="0" applyProtection="0">
      <alignment vertical="top"/>
    </xf>
    <xf numFmtId="169" fontId="2" fillId="0" borderId="0" applyFont="0" applyFill="0" applyBorder="0" applyProtection="0">
      <alignment vertical="top"/>
    </xf>
    <xf numFmtId="169" fontId="1" fillId="0" borderId="0" applyFont="0" applyFill="0" applyBorder="0" applyProtection="0">
      <alignment vertical="top"/>
    </xf>
    <xf numFmtId="165" fontId="51" fillId="0" borderId="2" applyNumberFormat="0" applyFont="0" applyFill="0" applyAlignment="0">
      <alignment vertical="top"/>
    </xf>
    <xf numFmtId="165" fontId="51" fillId="0" borderId="3" applyNumberFormat="0" applyFont="0" applyFill="0" applyAlignment="0">
      <alignment vertical="top"/>
    </xf>
    <xf numFmtId="166" fontId="1" fillId="0" borderId="0" applyBorder="0">
      <alignment vertical="top"/>
    </xf>
    <xf numFmtId="9" fontId="1" fillId="0" borderId="0" applyBorder="0">
      <alignment vertical="top"/>
    </xf>
    <xf numFmtId="166" fontId="1" fillId="0" borderId="0" applyBorder="0">
      <alignment vertical="top"/>
    </xf>
    <xf numFmtId="167" fontId="4" fillId="0" borderId="0" applyBorder="0">
      <alignment vertical="top"/>
    </xf>
    <xf numFmtId="171" fontId="1" fillId="0" borderId="0" applyFont="0" applyFill="0" applyBorder="0" applyProtection="0">
      <alignment vertical="top"/>
    </xf>
    <xf numFmtId="171" fontId="1" fillId="0" borderId="0" applyFont="0" applyFill="0" applyBorder="0" applyProtection="0">
      <alignment vertical="top"/>
    </xf>
  </cellStyleXfs>
  <cellXfs count="294">
    <xf numFmtId="165" fontId="0" fillId="0" borderId="0" xfId="0">
      <alignment vertical="top"/>
    </xf>
    <xf numFmtId="165" fontId="0" fillId="0" borderId="3" xfId="28">
      <alignment vertical="top"/>
    </xf>
    <xf numFmtId="165" fontId="1" fillId="0" borderId="0" xfId="1">
      <alignment vertical="top"/>
    </xf>
    <xf numFmtId="165" fontId="5" fillId="0" borderId="0" xfId="1" applyFont="1">
      <alignment vertical="top"/>
    </xf>
    <xf numFmtId="165" fontId="6" fillId="0" borderId="0" xfId="1" applyFont="1">
      <alignment vertical="top"/>
    </xf>
    <xf numFmtId="171" fontId="1" fillId="0" borderId="0" xfId="1" applyNumberFormat="1">
      <alignment vertical="top"/>
    </xf>
    <xf numFmtId="167" fontId="7" fillId="0" borderId="0" xfId="9" applyFont="1">
      <alignment vertical="top"/>
    </xf>
    <xf numFmtId="166" fontId="1" fillId="3" borderId="0" xfId="5" applyFont="1" applyFill="1" applyAlignment="1">
      <alignment horizontal="right" vertical="top"/>
    </xf>
    <xf numFmtId="167" fontId="1" fillId="0" borderId="0" xfId="4">
      <alignment vertical="top"/>
    </xf>
    <xf numFmtId="171" fontId="6" fillId="0" borderId="0" xfId="1" applyNumberFormat="1" applyFont="1">
      <alignment vertical="top"/>
    </xf>
    <xf numFmtId="166" fontId="1" fillId="0" borderId="0" xfId="29">
      <alignment vertical="top"/>
    </xf>
    <xf numFmtId="165" fontId="5" fillId="0" borderId="4" xfId="1" applyFont="1" applyBorder="1">
      <alignment vertical="top"/>
    </xf>
    <xf numFmtId="166" fontId="1" fillId="0" borderId="5" xfId="29" applyBorder="1">
      <alignment vertical="top"/>
    </xf>
    <xf numFmtId="167" fontId="5" fillId="0" borderId="0" xfId="4" applyFont="1">
      <alignment vertical="top"/>
    </xf>
    <xf numFmtId="171" fontId="5" fillId="0" borderId="0" xfId="1" applyNumberFormat="1" applyFont="1">
      <alignment vertical="top"/>
    </xf>
    <xf numFmtId="166" fontId="1" fillId="0" borderId="0" xfId="5" applyFont="1">
      <alignment vertical="top"/>
    </xf>
    <xf numFmtId="165" fontId="4" fillId="4" borderId="1" xfId="17" applyFill="1" applyProtection="1">
      <alignment vertical="top"/>
      <protection locked="0"/>
    </xf>
    <xf numFmtId="166" fontId="8" fillId="0" borderId="0" xfId="0" applyNumberFormat="1" applyFont="1">
      <alignment vertical="top"/>
    </xf>
    <xf numFmtId="165" fontId="9" fillId="0" borderId="0" xfId="18" applyFont="1">
      <alignment vertical="top"/>
    </xf>
    <xf numFmtId="166" fontId="1" fillId="0" borderId="3" xfId="28" applyNumberFormat="1" applyFont="1">
      <alignment vertical="top"/>
    </xf>
    <xf numFmtId="167" fontId="6" fillId="0" borderId="0" xfId="4" applyFont="1">
      <alignment vertical="top"/>
    </xf>
    <xf numFmtId="165" fontId="5" fillId="0" borderId="0" xfId="18" applyFont="1">
      <alignment vertical="top"/>
    </xf>
    <xf numFmtId="165" fontId="4" fillId="0" borderId="0" xfId="18" applyFont="1">
      <alignment vertical="top"/>
    </xf>
    <xf numFmtId="165" fontId="7" fillId="0" borderId="0" xfId="0" applyFont="1">
      <alignment vertical="top"/>
    </xf>
    <xf numFmtId="165" fontId="10" fillId="5" borderId="0" xfId="18" applyFont="1" applyFill="1" applyAlignment="1">
      <alignment vertical="center"/>
    </xf>
    <xf numFmtId="165" fontId="7" fillId="0" borderId="0" xfId="18" applyFont="1">
      <alignment vertical="top"/>
    </xf>
    <xf numFmtId="171" fontId="1" fillId="0" borderId="0" xfId="5" applyNumberFormat="1" applyFont="1">
      <alignment vertical="top"/>
    </xf>
    <xf numFmtId="165" fontId="6" fillId="0" borderId="0" xfId="18" applyFont="1" applyAlignment="1">
      <alignment horizontal="right" vertical="top"/>
    </xf>
    <xf numFmtId="165" fontId="11" fillId="0" borderId="0" xfId="18" applyFont="1">
      <alignment vertical="top"/>
    </xf>
    <xf numFmtId="165" fontId="1" fillId="5" borderId="0" xfId="18" applyFont="1" applyFill="1">
      <alignment vertical="top"/>
    </xf>
    <xf numFmtId="166" fontId="8" fillId="0" borderId="5" xfId="0" applyNumberFormat="1" applyFont="1" applyBorder="1">
      <alignment vertical="top"/>
    </xf>
    <xf numFmtId="169" fontId="4" fillId="4" borderId="1" xfId="14" applyFill="1" applyProtection="1">
      <alignment vertical="top"/>
      <protection locked="0"/>
    </xf>
    <xf numFmtId="171" fontId="4" fillId="0" borderId="0" xfId="33" applyFont="1">
      <alignment vertical="top"/>
    </xf>
    <xf numFmtId="165" fontId="5" fillId="0" borderId="4" xfId="18" applyFont="1" applyBorder="1">
      <alignment vertical="top"/>
    </xf>
    <xf numFmtId="165" fontId="12" fillId="0" borderId="0" xfId="18" applyFont="1">
      <alignment vertical="top"/>
    </xf>
    <xf numFmtId="168" fontId="6" fillId="0" borderId="0" xfId="1" applyNumberFormat="1" applyFont="1">
      <alignment vertical="top"/>
    </xf>
    <xf numFmtId="165" fontId="1" fillId="0" borderId="4" xfId="1" applyBorder="1">
      <alignment vertical="top"/>
    </xf>
    <xf numFmtId="168" fontId="1" fillId="0" borderId="0" xfId="1" applyNumberFormat="1">
      <alignment vertical="top"/>
    </xf>
    <xf numFmtId="168" fontId="5" fillId="0" borderId="0" xfId="1" applyNumberFormat="1" applyFont="1">
      <alignment vertical="top"/>
    </xf>
    <xf numFmtId="167" fontId="5" fillId="6" borderId="1" xfId="16" applyNumberFormat="1" applyFont="1" applyFill="1" applyProtection="1">
      <alignment vertical="top"/>
      <protection locked="0"/>
    </xf>
    <xf numFmtId="165" fontId="6" fillId="0" borderId="6" xfId="1" applyFont="1" applyBorder="1">
      <alignment vertical="top"/>
    </xf>
    <xf numFmtId="165" fontId="1" fillId="0" borderId="0" xfId="18" applyFont="1">
      <alignment vertical="top"/>
    </xf>
    <xf numFmtId="169" fontId="6" fillId="0" borderId="0" xfId="2" applyFont="1">
      <alignment vertical="top"/>
    </xf>
    <xf numFmtId="170" fontId="1" fillId="7" borderId="7" xfId="7" applyFont="1" applyFill="1" applyBorder="1">
      <alignment vertical="top"/>
    </xf>
    <xf numFmtId="166" fontId="1" fillId="0" borderId="0" xfId="0" applyNumberFormat="1" applyFont="1">
      <alignment vertical="top"/>
    </xf>
    <xf numFmtId="165" fontId="1" fillId="0" borderId="0" xfId="0" applyFont="1">
      <alignment vertical="top"/>
    </xf>
    <xf numFmtId="165" fontId="13" fillId="0" borderId="0" xfId="20" applyFont="1">
      <alignment vertical="top"/>
    </xf>
    <xf numFmtId="165" fontId="1" fillId="0" borderId="0" xfId="18">
      <alignment vertical="top"/>
    </xf>
    <xf numFmtId="165" fontId="14" fillId="0" borderId="0" xfId="0" applyFont="1">
      <alignment vertical="top"/>
    </xf>
    <xf numFmtId="165" fontId="4" fillId="0" borderId="0" xfId="0" applyFont="1">
      <alignment vertical="top"/>
    </xf>
    <xf numFmtId="165" fontId="15" fillId="0" borderId="0" xfId="0" applyFont="1" applyAlignment="1">
      <alignment horizontal="left" vertical="top"/>
    </xf>
    <xf numFmtId="165" fontId="16" fillId="0" borderId="0" xfId="0" applyFont="1">
      <alignment vertical="top"/>
    </xf>
    <xf numFmtId="177" fontId="1" fillId="8" borderId="0" xfId="0" applyNumberFormat="1" applyFont="1" applyFill="1" applyBorder="1" applyAlignment="1">
      <alignment horizontal="center" vertical="top"/>
    </xf>
    <xf numFmtId="165" fontId="17" fillId="0" borderId="0" xfId="13" applyNumberFormat="1" applyFont="1" applyAlignment="1">
      <alignment vertical="top"/>
    </xf>
    <xf numFmtId="167" fontId="18" fillId="0" borderId="0" xfId="9" applyFont="1">
      <alignment vertical="top"/>
    </xf>
    <xf numFmtId="167" fontId="4" fillId="0" borderId="0" xfId="8" applyFont="1">
      <alignment vertical="top"/>
    </xf>
    <xf numFmtId="166" fontId="1" fillId="0" borderId="5" xfId="0" applyNumberFormat="1" applyFont="1" applyBorder="1">
      <alignment vertical="top"/>
    </xf>
    <xf numFmtId="169" fontId="1" fillId="0" borderId="0" xfId="2">
      <alignment vertical="top"/>
    </xf>
    <xf numFmtId="165" fontId="15" fillId="0" borderId="0" xfId="18" applyFont="1" applyAlignment="1">
      <alignment horizontal="left" vertical="top"/>
    </xf>
    <xf numFmtId="165" fontId="9" fillId="0" borderId="6" xfId="18" applyFont="1" applyBorder="1">
      <alignment vertical="top"/>
    </xf>
    <xf numFmtId="165" fontId="16" fillId="0" borderId="0" xfId="18" applyFont="1">
      <alignment vertical="top"/>
    </xf>
    <xf numFmtId="167" fontId="4" fillId="4" borderId="1" xfId="16" applyNumberFormat="1" applyFill="1" applyProtection="1">
      <alignment vertical="top"/>
      <protection locked="0"/>
    </xf>
    <xf numFmtId="165" fontId="14" fillId="0" borderId="0" xfId="18" applyFont="1">
      <alignment vertical="top"/>
    </xf>
    <xf numFmtId="165" fontId="12" fillId="0" borderId="4" xfId="18" applyFont="1" applyBorder="1">
      <alignment vertical="top"/>
    </xf>
    <xf numFmtId="165" fontId="19" fillId="0" borderId="0" xfId="18" applyFont="1">
      <alignment vertical="top"/>
    </xf>
    <xf numFmtId="165" fontId="5" fillId="0" borderId="0" xfId="18" applyFont="1" applyAlignment="1">
      <alignment horizontal="right" vertical="top"/>
    </xf>
    <xf numFmtId="165" fontId="8" fillId="0" borderId="0" xfId="20" applyFont="1">
      <alignment vertical="top"/>
    </xf>
    <xf numFmtId="166" fontId="8" fillId="0" borderId="0" xfId="28" applyNumberFormat="1" applyFont="1" applyBorder="1">
      <alignment vertical="top"/>
    </xf>
    <xf numFmtId="165" fontId="2" fillId="9" borderId="0" xfId="20" applyFill="1">
      <alignment vertical="top"/>
    </xf>
    <xf numFmtId="165" fontId="20" fillId="0" borderId="0" xfId="18" applyFont="1">
      <alignment vertical="top"/>
    </xf>
    <xf numFmtId="165" fontId="20" fillId="0" borderId="0" xfId="0" applyFont="1" applyAlignment="1">
      <alignment horizontal="left" vertical="top"/>
    </xf>
    <xf numFmtId="165" fontId="21" fillId="0" borderId="0" xfId="0" applyFont="1">
      <alignment vertical="top"/>
    </xf>
    <xf numFmtId="165" fontId="4" fillId="0" borderId="0" xfId="0" applyFont="1" applyAlignment="1">
      <alignment horizontal="left" vertical="top"/>
    </xf>
    <xf numFmtId="165" fontId="20" fillId="0" borderId="0" xfId="0" applyFont="1">
      <alignment vertical="top"/>
    </xf>
    <xf numFmtId="165" fontId="0" fillId="0" borderId="0" xfId="0" applyAlignment="1">
      <alignment horizontal="left" vertical="top"/>
    </xf>
    <xf numFmtId="165" fontId="1" fillId="0" borderId="0" xfId="0" applyFont="1" applyAlignment="1">
      <alignment horizontal="left" vertical="top"/>
    </xf>
    <xf numFmtId="165" fontId="13" fillId="0" borderId="0" xfId="0" applyFont="1">
      <alignment vertical="top"/>
    </xf>
    <xf numFmtId="165" fontId="22" fillId="0" borderId="0" xfId="0" applyFont="1">
      <alignment vertical="top"/>
    </xf>
    <xf numFmtId="169" fontId="8" fillId="0" borderId="0" xfId="20" applyNumberFormat="1" applyFont="1">
      <alignment vertical="top"/>
    </xf>
    <xf numFmtId="169" fontId="2" fillId="9" borderId="0" xfId="20" applyNumberFormat="1" applyFill="1">
      <alignment vertical="top"/>
    </xf>
    <xf numFmtId="165" fontId="1" fillId="0" borderId="6" xfId="1" applyBorder="1">
      <alignment vertical="top"/>
    </xf>
    <xf numFmtId="165" fontId="1" fillId="0" borderId="4" xfId="18" applyBorder="1">
      <alignment vertical="top"/>
    </xf>
    <xf numFmtId="165" fontId="1" fillId="0" borderId="6" xfId="18" applyBorder="1">
      <alignment vertical="top"/>
    </xf>
    <xf numFmtId="165" fontId="21" fillId="0" borderId="0" xfId="18" applyFont="1">
      <alignment vertical="top"/>
    </xf>
    <xf numFmtId="165" fontId="6" fillId="0" borderId="6" xfId="18" applyFont="1" applyBorder="1" applyAlignment="1">
      <alignment horizontal="right" vertical="top"/>
    </xf>
    <xf numFmtId="165" fontId="22" fillId="0" borderId="0" xfId="18" applyFont="1">
      <alignment vertical="top"/>
    </xf>
    <xf numFmtId="165" fontId="13" fillId="0" borderId="0" xfId="18" applyFont="1">
      <alignment vertical="top"/>
    </xf>
    <xf numFmtId="165" fontId="11" fillId="0" borderId="6" xfId="18" applyFont="1" applyBorder="1">
      <alignment vertical="top"/>
    </xf>
    <xf numFmtId="165" fontId="19" fillId="0" borderId="4" xfId="18" applyFont="1" applyBorder="1">
      <alignment vertical="top"/>
    </xf>
    <xf numFmtId="165" fontId="4" fillId="0" borderId="0" xfId="18" applyFont="1" applyAlignment="1">
      <alignment horizontal="right" vertical="top"/>
    </xf>
    <xf numFmtId="165" fontId="5" fillId="0" borderId="4" xfId="18" applyFont="1" applyBorder="1" applyAlignment="1">
      <alignment horizontal="right" vertical="top"/>
    </xf>
    <xf numFmtId="165" fontId="1" fillId="0" borderId="0" xfId="18" applyAlignment="1">
      <alignment horizontal="right" vertical="top"/>
    </xf>
    <xf numFmtId="165" fontId="1" fillId="0" borderId="0" xfId="18" applyFont="1" applyAlignment="1">
      <alignment horizontal="right" vertical="top"/>
    </xf>
    <xf numFmtId="165" fontId="20" fillId="0" borderId="0" xfId="18" applyFont="1" applyAlignment="1">
      <alignment horizontal="right" vertical="top"/>
    </xf>
    <xf numFmtId="165" fontId="2" fillId="0" borderId="0" xfId="20">
      <alignment vertical="top"/>
    </xf>
    <xf numFmtId="165" fontId="1" fillId="0" borderId="8" xfId="1" applyBorder="1">
      <alignment vertical="top"/>
    </xf>
    <xf numFmtId="165" fontId="1" fillId="0" borderId="0" xfId="20" applyFont="1">
      <alignment vertical="top"/>
    </xf>
    <xf numFmtId="165" fontId="1" fillId="0" borderId="0" xfId="18" applyFont="1" applyFill="1" applyBorder="1">
      <alignment vertical="top"/>
    </xf>
    <xf numFmtId="171" fontId="23" fillId="0" borderId="0" xfId="34" applyFont="1" applyAlignment="1">
      <alignment horizontal="center" vertical="top"/>
    </xf>
    <xf numFmtId="169" fontId="1" fillId="0" borderId="8" xfId="2" applyBorder="1">
      <alignment vertical="top"/>
    </xf>
    <xf numFmtId="167" fontId="8" fillId="0" borderId="0" xfId="20" applyNumberFormat="1" applyFont="1">
      <alignment vertical="top"/>
    </xf>
    <xf numFmtId="167" fontId="2" fillId="9" borderId="0" xfId="20" applyNumberFormat="1" applyFill="1">
      <alignment vertical="top"/>
    </xf>
    <xf numFmtId="165" fontId="24" fillId="0" borderId="0" xfId="0" applyFont="1">
      <alignment vertical="top"/>
    </xf>
    <xf numFmtId="169" fontId="2" fillId="0" borderId="0" xfId="20" applyNumberFormat="1">
      <alignment vertical="top"/>
    </xf>
    <xf numFmtId="166" fontId="1" fillId="7" borderId="7" xfId="5" applyFont="1" applyFill="1" applyBorder="1" applyAlignment="1">
      <alignment horizontal="center" vertical="top"/>
    </xf>
    <xf numFmtId="165" fontId="7" fillId="0" borderId="0" xfId="18" applyFont="1" applyFill="1" applyBorder="1">
      <alignment vertical="top"/>
    </xf>
    <xf numFmtId="165" fontId="4" fillId="0" borderId="0" xfId="18" applyFont="1" applyFill="1">
      <alignment vertical="top"/>
    </xf>
    <xf numFmtId="165" fontId="7" fillId="0" borderId="0" xfId="20" applyFont="1">
      <alignment vertical="top"/>
    </xf>
    <xf numFmtId="165" fontId="1" fillId="0" borderId="0" xfId="18" applyFont="1" applyFill="1">
      <alignment vertical="top"/>
    </xf>
    <xf numFmtId="166" fontId="1" fillId="0" borderId="0" xfId="28" applyNumberFormat="1" applyFont="1" applyBorder="1">
      <alignment vertical="top"/>
    </xf>
    <xf numFmtId="169" fontId="1" fillId="0" borderId="0" xfId="26" applyFont="1" applyFill="1" applyBorder="1">
      <alignment vertical="top"/>
    </xf>
    <xf numFmtId="165" fontId="8" fillId="0" borderId="0" xfId="0" applyFont="1">
      <alignment vertical="top"/>
    </xf>
    <xf numFmtId="167" fontId="7" fillId="7" borderId="7" xfId="9" applyFont="1" applyFill="1" applyBorder="1" applyAlignment="1">
      <alignment horizontal="center" vertical="center"/>
    </xf>
    <xf numFmtId="165" fontId="1" fillId="9" borderId="0" xfId="18" applyFont="1" applyFill="1">
      <alignment vertical="top"/>
    </xf>
    <xf numFmtId="165" fontId="25" fillId="0" borderId="0" xfId="0" applyFont="1">
      <alignment vertical="top"/>
    </xf>
    <xf numFmtId="165" fontId="1" fillId="0" borderId="0" xfId="22">
      <alignment vertical="top"/>
    </xf>
    <xf numFmtId="166" fontId="1" fillId="9" borderId="0" xfId="5" applyFont="1" applyFill="1">
      <alignment vertical="top"/>
    </xf>
    <xf numFmtId="165" fontId="1" fillId="10" borderId="0" xfId="18" applyFont="1" applyFill="1">
      <alignment vertical="top"/>
    </xf>
    <xf numFmtId="169" fontId="6" fillId="0" borderId="0" xfId="26" applyFont="1" applyFill="1">
      <alignment vertical="top"/>
    </xf>
    <xf numFmtId="169" fontId="1" fillId="10" borderId="0" xfId="26" applyFont="1" applyFill="1">
      <alignment vertical="top"/>
    </xf>
    <xf numFmtId="165" fontId="4" fillId="0" borderId="0" xfId="18" applyFont="1" applyFill="1" applyBorder="1">
      <alignment vertical="top"/>
    </xf>
    <xf numFmtId="165" fontId="1" fillId="0" borderId="0" xfId="18" applyFont="1" applyFill="1" applyBorder="1" applyAlignment="1">
      <alignment horizontal="right" vertical="top"/>
    </xf>
    <xf numFmtId="165" fontId="1" fillId="0" borderId="0" xfId="18" applyFont="1" applyBorder="1">
      <alignment vertical="top"/>
    </xf>
    <xf numFmtId="167" fontId="5" fillId="6" borderId="0" xfId="18" applyNumberFormat="1" applyFont="1" applyFill="1">
      <alignment vertical="top"/>
    </xf>
    <xf numFmtId="167" fontId="1" fillId="0" borderId="8" xfId="4" applyBorder="1">
      <alignment vertical="top"/>
    </xf>
    <xf numFmtId="169" fontId="1" fillId="9" borderId="0" xfId="26" applyFont="1" applyFill="1">
      <alignment vertical="top"/>
    </xf>
    <xf numFmtId="167" fontId="2" fillId="0" borderId="0" xfId="20" applyNumberFormat="1">
      <alignment vertical="top"/>
    </xf>
    <xf numFmtId="169" fontId="0" fillId="0" borderId="0" xfId="26" applyFont="1">
      <alignment vertical="top"/>
    </xf>
    <xf numFmtId="169" fontId="7" fillId="0" borderId="0" xfId="26" applyFont="1" applyFill="1" applyBorder="1">
      <alignment vertical="top"/>
    </xf>
    <xf numFmtId="165" fontId="14" fillId="0" borderId="0" xfId="18" applyFont="1" applyFill="1" applyBorder="1">
      <alignment vertical="top"/>
    </xf>
    <xf numFmtId="165" fontId="26" fillId="0" borderId="0" xfId="0" applyFont="1">
      <alignment vertical="top"/>
    </xf>
    <xf numFmtId="167" fontId="1" fillId="0" borderId="0" xfId="9">
      <alignment vertical="top"/>
    </xf>
    <xf numFmtId="165" fontId="27" fillId="0" borderId="0" xfId="22" applyFont="1" applyFill="1">
      <alignment vertical="top"/>
    </xf>
    <xf numFmtId="166" fontId="1" fillId="7" borderId="9" xfId="5" applyFont="1" applyFill="1" applyBorder="1" applyAlignment="1">
      <alignment horizontal="center" vertical="top"/>
    </xf>
    <xf numFmtId="165" fontId="27" fillId="0" borderId="0" xfId="22" applyFont="1">
      <alignment vertical="top"/>
    </xf>
    <xf numFmtId="165" fontId="1" fillId="9" borderId="0" xfId="20" applyFont="1" applyFill="1">
      <alignment vertical="top"/>
    </xf>
    <xf numFmtId="165" fontId="7" fillId="0" borderId="0" xfId="18" applyFont="1" applyBorder="1">
      <alignment vertical="top"/>
    </xf>
    <xf numFmtId="165" fontId="14" fillId="0" borderId="0" xfId="20" applyFont="1">
      <alignment vertical="top"/>
    </xf>
    <xf numFmtId="0" fontId="28" fillId="0" borderId="0" xfId="5" applyNumberFormat="1" applyFont="1" applyAlignment="1">
      <alignment horizontal="center" vertical="center"/>
    </xf>
    <xf numFmtId="169" fontId="1" fillId="0" borderId="0" xfId="20" applyNumberFormat="1" applyFont="1">
      <alignment vertical="top"/>
    </xf>
    <xf numFmtId="165" fontId="4" fillId="0" borderId="0" xfId="22" applyFont="1">
      <alignment vertical="top"/>
    </xf>
    <xf numFmtId="168" fontId="1" fillId="0" borderId="0" xfId="12" applyFont="1" applyFill="1" applyBorder="1">
      <alignment vertical="top"/>
    </xf>
    <xf numFmtId="172" fontId="1" fillId="0" borderId="0" xfId="18" applyNumberFormat="1" applyFont="1" applyFill="1" applyBorder="1" applyAlignment="1">
      <alignment vertical="top" wrapText="1"/>
    </xf>
    <xf numFmtId="165" fontId="1" fillId="7" borderId="7" xfId="18" applyFont="1" applyFill="1" applyBorder="1" applyAlignment="1">
      <alignment horizontal="center" vertical="top"/>
    </xf>
    <xf numFmtId="166" fontId="1" fillId="0" borderId="9" xfId="5" applyFont="1" applyFill="1" applyBorder="1" applyAlignment="1">
      <alignment horizontal="center" vertical="top"/>
    </xf>
    <xf numFmtId="165" fontId="1" fillId="0" borderId="0" xfId="18" applyFont="1" applyBorder="1" applyAlignment="1">
      <alignment horizontal="right" vertical="top"/>
    </xf>
    <xf numFmtId="165" fontId="1" fillId="0" borderId="0" xfId="20" applyFont="1" applyAlignment="1">
      <alignment horizontal="left" vertical="top"/>
    </xf>
    <xf numFmtId="165" fontId="4" fillId="11" borderId="0" xfId="18" applyFont="1" applyFill="1">
      <alignment vertical="top"/>
    </xf>
    <xf numFmtId="167" fontId="1" fillId="11" borderId="7" xfId="9" applyFont="1" applyFill="1" applyBorder="1" applyAlignment="1">
      <alignment horizontal="center" vertical="top"/>
    </xf>
    <xf numFmtId="165" fontId="4" fillId="10" borderId="0" xfId="18" applyFont="1" applyFill="1">
      <alignment vertical="top"/>
    </xf>
    <xf numFmtId="165" fontId="29" fillId="0" borderId="0" xfId="20" applyFont="1">
      <alignment vertical="top"/>
    </xf>
    <xf numFmtId="168" fontId="6" fillId="0" borderId="0" xfId="12" applyFont="1" applyFill="1">
      <alignment vertical="top"/>
    </xf>
    <xf numFmtId="173" fontId="1" fillId="11" borderId="7" xfId="18" applyNumberFormat="1" applyFont="1" applyFill="1" applyBorder="1" applyAlignment="1">
      <alignment horizontal="center" vertical="top"/>
    </xf>
    <xf numFmtId="168" fontId="1" fillId="10" borderId="0" xfId="12" applyFont="1" applyFill="1">
      <alignment vertical="top"/>
    </xf>
    <xf numFmtId="172" fontId="4" fillId="10" borderId="0" xfId="9" applyNumberFormat="1" applyFont="1" applyFill="1">
      <alignment vertical="top"/>
    </xf>
    <xf numFmtId="165" fontId="4" fillId="10" borderId="0" xfId="18" applyFont="1" applyFill="1" applyBorder="1">
      <alignment vertical="top"/>
    </xf>
    <xf numFmtId="166" fontId="4" fillId="9" borderId="0" xfId="18" applyNumberFormat="1" applyFont="1" applyFill="1">
      <alignment vertical="top"/>
    </xf>
    <xf numFmtId="166" fontId="1" fillId="0" borderId="0" xfId="18" applyNumberFormat="1" applyFont="1" applyFill="1">
      <alignment vertical="top"/>
    </xf>
    <xf numFmtId="171" fontId="1" fillId="9" borderId="0" xfId="34" applyFont="1" applyFill="1">
      <alignment vertical="top"/>
    </xf>
    <xf numFmtId="174" fontId="30" fillId="0" borderId="0" xfId="22" applyNumberFormat="1" applyFont="1" applyAlignment="1">
      <alignment horizontal="center" vertical="center"/>
    </xf>
    <xf numFmtId="166" fontId="7" fillId="9" borderId="0" xfId="18" applyNumberFormat="1" applyFont="1" applyFill="1" applyBorder="1">
      <alignment vertical="top"/>
    </xf>
    <xf numFmtId="165" fontId="27" fillId="9" borderId="0" xfId="22" applyFont="1" applyFill="1">
      <alignment vertical="top"/>
    </xf>
    <xf numFmtId="167" fontId="1" fillId="9" borderId="0" xfId="9" applyFont="1" applyFill="1">
      <alignment vertical="top"/>
    </xf>
    <xf numFmtId="165" fontId="1" fillId="0" borderId="0" xfId="3">
      <alignment vertical="top"/>
    </xf>
    <xf numFmtId="165" fontId="12" fillId="6" borderId="0" xfId="18" applyFont="1" applyFill="1">
      <alignment vertical="top"/>
    </xf>
    <xf numFmtId="165" fontId="31" fillId="5" borderId="0" xfId="18" applyFont="1" applyFill="1">
      <alignment vertical="top"/>
    </xf>
    <xf numFmtId="165" fontId="8" fillId="9" borderId="0" xfId="20" applyFont="1" applyFill="1">
      <alignment vertical="top"/>
    </xf>
    <xf numFmtId="169" fontId="4" fillId="0" borderId="0" xfId="26" applyFont="1">
      <alignment vertical="top"/>
    </xf>
    <xf numFmtId="166" fontId="4" fillId="9" borderId="0" xfId="5" applyFont="1" applyFill="1">
      <alignment vertical="top"/>
    </xf>
    <xf numFmtId="165" fontId="4" fillId="0" borderId="0" xfId="18" applyFont="1" applyAlignment="1">
      <alignment horizontal="left" vertical="top"/>
    </xf>
    <xf numFmtId="167" fontId="1" fillId="0" borderId="0" xfId="9" applyFont="1">
      <alignment vertical="top"/>
    </xf>
    <xf numFmtId="165" fontId="20" fillId="0" borderId="0" xfId="18" applyFont="1" applyAlignment="1">
      <alignment horizontal="left" vertical="top"/>
    </xf>
    <xf numFmtId="165" fontId="7" fillId="9" borderId="0" xfId="18" applyFont="1" applyFill="1" applyBorder="1">
      <alignment vertical="top"/>
    </xf>
    <xf numFmtId="167" fontId="4" fillId="0" borderId="0" xfId="32">
      <alignment vertical="top"/>
    </xf>
    <xf numFmtId="170" fontId="1" fillId="9" borderId="0" xfId="7" applyFont="1" applyFill="1">
      <alignment vertical="top"/>
    </xf>
    <xf numFmtId="165" fontId="32" fillId="5" borderId="0" xfId="18" applyFont="1" applyFill="1" applyAlignment="1">
      <alignment vertical="center"/>
    </xf>
    <xf numFmtId="168" fontId="7" fillId="0" borderId="0" xfId="12" applyFont="1" applyFill="1" applyBorder="1">
      <alignment vertical="top"/>
    </xf>
    <xf numFmtId="168" fontId="1" fillId="9" borderId="0" xfId="12" applyFont="1" applyFill="1">
      <alignment vertical="top"/>
    </xf>
    <xf numFmtId="165" fontId="1" fillId="0" borderId="0" xfId="18" applyFont="1" applyFill="1" applyAlignment="1">
      <alignment horizontal="right" vertical="top"/>
    </xf>
    <xf numFmtId="169" fontId="4" fillId="7" borderId="1" xfId="14" applyFill="1">
      <alignment vertical="top"/>
    </xf>
    <xf numFmtId="165" fontId="1" fillId="5" borderId="0" xfId="18" applyFill="1">
      <alignment vertical="top"/>
    </xf>
    <xf numFmtId="169" fontId="1" fillId="0" borderId="0" xfId="26" applyFont="1" applyFill="1">
      <alignment vertical="top"/>
    </xf>
    <xf numFmtId="9" fontId="1" fillId="0" borderId="0" xfId="30">
      <alignment vertical="top"/>
    </xf>
    <xf numFmtId="166" fontId="4" fillId="9" borderId="0" xfId="18" applyNumberFormat="1" applyFont="1" applyFill="1" applyAlignment="1">
      <alignment horizontal="left"/>
    </xf>
    <xf numFmtId="165" fontId="14" fillId="0" borderId="0" xfId="18" applyFont="1" applyBorder="1">
      <alignment vertical="top"/>
    </xf>
    <xf numFmtId="165" fontId="14" fillId="0" borderId="0" xfId="22" applyFont="1" applyBorder="1">
      <alignment vertical="top"/>
    </xf>
    <xf numFmtId="167" fontId="7" fillId="9" borderId="0" xfId="9" applyFont="1" applyFill="1">
      <alignment vertical="top"/>
    </xf>
    <xf numFmtId="165" fontId="33" fillId="0" borderId="0" xfId="0" applyFont="1">
      <alignment vertical="top"/>
    </xf>
    <xf numFmtId="165" fontId="4" fillId="7" borderId="1" xfId="15" applyFill="1">
      <alignment vertical="top"/>
    </xf>
    <xf numFmtId="164" fontId="4" fillId="7" borderId="1" xfId="16" applyFill="1">
      <alignment vertical="top"/>
    </xf>
    <xf numFmtId="165" fontId="1" fillId="0" borderId="0" xfId="18" applyFont="1" applyAlignment="1">
      <alignment horizontal="left" vertical="top"/>
    </xf>
    <xf numFmtId="165" fontId="4" fillId="0" borderId="0" xfId="18" applyFont="1" applyFill="1" applyAlignment="1">
      <alignment horizontal="right" vertical="top"/>
    </xf>
    <xf numFmtId="169" fontId="14" fillId="0" borderId="0" xfId="26" applyFont="1" applyBorder="1">
      <alignment vertical="top"/>
    </xf>
    <xf numFmtId="165" fontId="34" fillId="0" borderId="0" xfId="0" applyFont="1">
      <alignment vertical="top"/>
    </xf>
    <xf numFmtId="165" fontId="1" fillId="0" borderId="0" xfId="22" applyFont="1">
      <alignment vertical="top"/>
    </xf>
    <xf numFmtId="165" fontId="35" fillId="0" borderId="0" xfId="20" applyFont="1">
      <alignment vertical="top"/>
    </xf>
    <xf numFmtId="165" fontId="7" fillId="0" borderId="0" xfId="20" applyFont="1" applyAlignment="1">
      <alignment vertical="top" wrapText="1"/>
    </xf>
    <xf numFmtId="165" fontId="4" fillId="7" borderId="1" xfId="17" applyFill="1">
      <alignment vertical="top"/>
    </xf>
    <xf numFmtId="165" fontId="4" fillId="0" borderId="0" xfId="22" applyFont="1" applyFill="1">
      <alignment vertical="top"/>
    </xf>
    <xf numFmtId="166" fontId="4" fillId="9" borderId="0" xfId="5" applyFont="1" applyFill="1" applyBorder="1">
      <alignment vertical="top"/>
    </xf>
    <xf numFmtId="166" fontId="1" fillId="0" borderId="0" xfId="31">
      <alignment vertical="top"/>
    </xf>
    <xf numFmtId="172" fontId="7" fillId="0" borderId="0" xfId="9" applyNumberFormat="1" applyFont="1" applyFill="1" applyBorder="1">
      <alignment vertical="top"/>
    </xf>
    <xf numFmtId="165" fontId="36" fillId="0" borderId="0" xfId="0" applyFont="1">
      <alignment vertical="top"/>
    </xf>
    <xf numFmtId="169" fontId="1" fillId="9" borderId="0" xfId="20" applyNumberFormat="1" applyFont="1" applyFill="1">
      <alignment vertical="top"/>
    </xf>
    <xf numFmtId="169" fontId="37" fillId="0" borderId="0" xfId="26" applyFont="1" applyFill="1">
      <alignment vertical="top"/>
    </xf>
    <xf numFmtId="169" fontId="1" fillId="0" borderId="0" xfId="26">
      <alignment vertical="top"/>
    </xf>
    <xf numFmtId="165" fontId="38" fillId="0" borderId="0" xfId="0" applyFont="1">
      <alignment vertical="top"/>
    </xf>
    <xf numFmtId="166" fontId="7" fillId="0" borderId="0" xfId="18" applyNumberFormat="1" applyFont="1" applyFill="1" applyBorder="1">
      <alignment vertical="top"/>
    </xf>
    <xf numFmtId="165" fontId="7" fillId="0" borderId="4" xfId="18" applyFont="1" applyBorder="1">
      <alignment vertical="top"/>
    </xf>
    <xf numFmtId="165" fontId="7" fillId="7" borderId="9" xfId="0" applyFont="1" applyFill="1" applyBorder="1" applyAlignment="1">
      <alignment horizontal="center" vertical="top"/>
    </xf>
    <xf numFmtId="165" fontId="27" fillId="0" borderId="0" xfId="22" applyFont="1" applyBorder="1">
      <alignment vertical="top"/>
    </xf>
    <xf numFmtId="165" fontId="39" fillId="0" borderId="0" xfId="20" applyFont="1">
      <alignment vertical="top"/>
    </xf>
    <xf numFmtId="168" fontId="37" fillId="0" borderId="0" xfId="12" applyFont="1" applyFill="1">
      <alignment vertical="top"/>
    </xf>
    <xf numFmtId="167" fontId="14" fillId="0" borderId="0" xfId="9" applyFont="1">
      <alignment vertical="top"/>
    </xf>
    <xf numFmtId="165" fontId="4" fillId="0" borderId="7" xfId="18" applyFont="1" applyFill="1" applyBorder="1" applyAlignment="1">
      <alignment horizontal="right" vertical="top"/>
    </xf>
    <xf numFmtId="166" fontId="1" fillId="0" borderId="0" xfId="18" applyNumberFormat="1" applyFont="1" applyFill="1" applyBorder="1">
      <alignment vertical="top"/>
    </xf>
    <xf numFmtId="166" fontId="4" fillId="9" borderId="0" xfId="18" applyNumberFormat="1" applyFont="1" applyFill="1" applyAlignment="1">
      <alignment horizontal="right"/>
    </xf>
    <xf numFmtId="169" fontId="4" fillId="0" borderId="0" xfId="26" applyFont="1" applyFill="1">
      <alignment vertical="top"/>
    </xf>
    <xf numFmtId="166" fontId="7" fillId="0" borderId="0" xfId="5" applyFont="1">
      <alignment vertical="top"/>
    </xf>
    <xf numFmtId="165" fontId="27" fillId="12" borderId="7" xfId="22" applyFont="1" applyFill="1" applyBorder="1">
      <alignment vertical="top"/>
    </xf>
    <xf numFmtId="172" fontId="1" fillId="0" borderId="0" xfId="9" applyNumberFormat="1" applyFont="1" applyFill="1" applyBorder="1">
      <alignment vertical="top"/>
    </xf>
    <xf numFmtId="165" fontId="20" fillId="0" borderId="0" xfId="18" applyFont="1" applyBorder="1" applyAlignment="1">
      <alignment horizontal="right" vertical="top"/>
    </xf>
    <xf numFmtId="169" fontId="4" fillId="0" borderId="0" xfId="26" applyFont="1" applyBorder="1">
      <alignment vertical="top"/>
    </xf>
    <xf numFmtId="169" fontId="4" fillId="9" borderId="0" xfId="26" applyFont="1" applyFill="1">
      <alignment vertical="top"/>
    </xf>
    <xf numFmtId="164" fontId="1" fillId="0" borderId="0" xfId="0" applyNumberFormat="1" applyFont="1">
      <alignment vertical="top"/>
    </xf>
    <xf numFmtId="169" fontId="1" fillId="0" borderId="0" xfId="26" applyFont="1">
      <alignment vertical="top"/>
    </xf>
    <xf numFmtId="172" fontId="4" fillId="0" borderId="7" xfId="9" applyNumberFormat="1" applyFont="1" applyFill="1" applyBorder="1" applyAlignment="1">
      <alignment horizontal="right" vertical="top"/>
    </xf>
    <xf numFmtId="165" fontId="16" fillId="9" borderId="0" xfId="18" applyFont="1" applyFill="1">
      <alignment vertical="top"/>
    </xf>
    <xf numFmtId="172" fontId="4" fillId="0" borderId="0" xfId="9" applyNumberFormat="1" applyFont="1">
      <alignment vertical="top"/>
    </xf>
    <xf numFmtId="165" fontId="13" fillId="0" borderId="0" xfId="18" applyFont="1" applyFill="1" applyBorder="1">
      <alignment vertical="top"/>
    </xf>
    <xf numFmtId="165" fontId="4" fillId="0" borderId="0" xfId="22" applyFont="1" applyBorder="1">
      <alignment vertical="top"/>
    </xf>
    <xf numFmtId="165" fontId="5" fillId="6" borderId="0" xfId="18" applyFont="1" applyFill="1">
      <alignment vertical="top"/>
    </xf>
    <xf numFmtId="172" fontId="14" fillId="0" borderId="0" xfId="9" applyNumberFormat="1" applyFont="1" applyFill="1" applyBorder="1">
      <alignment vertical="top"/>
    </xf>
    <xf numFmtId="166" fontId="18" fillId="0" borderId="0" xfId="18" applyNumberFormat="1" applyFont="1" applyBorder="1" applyAlignment="1">
      <alignment horizontal="left" vertical="top"/>
    </xf>
    <xf numFmtId="165" fontId="40" fillId="0" borderId="0" xfId="0" applyFont="1">
      <alignment vertical="top"/>
    </xf>
    <xf numFmtId="166" fontId="41" fillId="0" borderId="0" xfId="18" applyNumberFormat="1" applyFont="1" applyFill="1">
      <alignment vertical="top"/>
    </xf>
    <xf numFmtId="165" fontId="1" fillId="0" borderId="0" xfId="20" applyFont="1" applyAlignment="1">
      <alignment horizontal="left" vertical="top" wrapText="1"/>
    </xf>
    <xf numFmtId="165" fontId="42" fillId="0" borderId="0" xfId="0" applyFont="1">
      <alignment vertical="top"/>
    </xf>
    <xf numFmtId="165" fontId="22" fillId="0" borderId="0" xfId="18" applyFont="1" applyFill="1" applyBorder="1">
      <alignment vertical="top"/>
    </xf>
    <xf numFmtId="166" fontId="14" fillId="0" borderId="0" xfId="18" applyNumberFormat="1" applyFont="1" applyFill="1" applyBorder="1">
      <alignment vertical="top"/>
    </xf>
    <xf numFmtId="165" fontId="1" fillId="0" borderId="4" xfId="18" applyBorder="1" applyAlignment="1">
      <alignment horizontal="right" vertical="top"/>
    </xf>
    <xf numFmtId="165" fontId="1" fillId="0" borderId="0" xfId="22" applyFont="1" applyFill="1">
      <alignment vertical="top"/>
    </xf>
    <xf numFmtId="175" fontId="37" fillId="0" borderId="0" xfId="18" applyNumberFormat="1" applyFont="1" applyFill="1">
      <alignment vertical="top"/>
    </xf>
    <xf numFmtId="173" fontId="1" fillId="0" borderId="7" xfId="18" applyNumberFormat="1" applyFont="1" applyFill="1" applyBorder="1" applyAlignment="1">
      <alignment horizontal="center" vertical="top"/>
    </xf>
    <xf numFmtId="165" fontId="1" fillId="9" borderId="0" xfId="22" applyFont="1" applyFill="1">
      <alignment vertical="top"/>
    </xf>
    <xf numFmtId="165" fontId="43" fillId="5" borderId="0" xfId="18" applyFont="1" applyFill="1">
      <alignment vertical="top"/>
    </xf>
    <xf numFmtId="165" fontId="35" fillId="0" borderId="0" xfId="20" applyFont="1" applyAlignment="1">
      <alignment horizontal="left" vertical="top"/>
    </xf>
    <xf numFmtId="165" fontId="20" fillId="0" borderId="0" xfId="18" applyFont="1" applyFill="1">
      <alignment vertical="top"/>
    </xf>
    <xf numFmtId="165" fontId="44" fillId="0" borderId="0" xfId="20" applyFont="1">
      <alignment vertical="top"/>
    </xf>
    <xf numFmtId="165" fontId="7" fillId="9" borderId="0" xfId="18" applyFont="1" applyFill="1">
      <alignment vertical="top"/>
    </xf>
    <xf numFmtId="165" fontId="14" fillId="0" borderId="4" xfId="18" applyFont="1" applyBorder="1">
      <alignment vertical="top"/>
    </xf>
    <xf numFmtId="167" fontId="1" fillId="0" borderId="10" xfId="9" applyFill="1" applyBorder="1" applyAlignment="1">
      <alignment horizontal="center" vertical="top"/>
    </xf>
    <xf numFmtId="168" fontId="1" fillId="0" borderId="0" xfId="12">
      <alignment vertical="top"/>
    </xf>
    <xf numFmtId="165" fontId="1" fillId="9" borderId="0" xfId="18" applyFont="1" applyFill="1" applyAlignment="1">
      <alignment horizontal="right" vertical="top"/>
    </xf>
    <xf numFmtId="166" fontId="1" fillId="9" borderId="0" xfId="18" applyNumberFormat="1" applyFont="1" applyFill="1" applyBorder="1" applyAlignment="1">
      <alignment horizontal="right" vertical="top"/>
    </xf>
    <xf numFmtId="165" fontId="8" fillId="0" borderId="10" xfId="0" applyFont="1" applyBorder="1" applyAlignment="1">
      <alignment horizontal="center" vertical="top"/>
    </xf>
    <xf numFmtId="165" fontId="45" fillId="0" borderId="0" xfId="18" applyFont="1" applyFill="1">
      <alignment vertical="top"/>
    </xf>
    <xf numFmtId="165" fontId="46" fillId="0" borderId="0" xfId="22" applyFont="1" applyBorder="1">
      <alignment vertical="top"/>
    </xf>
    <xf numFmtId="169" fontId="20" fillId="0" borderId="0" xfId="26" applyFont="1">
      <alignment vertical="top"/>
    </xf>
    <xf numFmtId="165" fontId="1" fillId="9" borderId="0" xfId="22" applyFill="1">
      <alignment vertical="top"/>
    </xf>
    <xf numFmtId="165" fontId="7" fillId="0" borderId="11" xfId="18" applyFont="1" applyBorder="1">
      <alignment vertical="top"/>
    </xf>
    <xf numFmtId="165" fontId="7" fillId="7" borderId="7" xfId="0" applyFont="1" applyFill="1" applyBorder="1" applyAlignment="1">
      <alignment horizontal="center" vertical="top"/>
    </xf>
    <xf numFmtId="165" fontId="20" fillId="0" borderId="0" xfId="22" applyFont="1">
      <alignment vertical="top"/>
    </xf>
    <xf numFmtId="166" fontId="13" fillId="0" borderId="0" xfId="5" applyFont="1" applyFill="1">
      <alignment vertical="top"/>
    </xf>
    <xf numFmtId="165" fontId="1" fillId="9" borderId="0" xfId="18" applyFont="1" applyFill="1" applyBorder="1" applyAlignment="1">
      <alignment horizontal="right" vertical="top"/>
    </xf>
    <xf numFmtId="167" fontId="1" fillId="0" borderId="0" xfId="9" applyFont="1" applyBorder="1">
      <alignment vertical="top"/>
    </xf>
    <xf numFmtId="165" fontId="4" fillId="12" borderId="7" xfId="0" applyFont="1" applyFill="1" applyBorder="1" applyAlignment="1">
      <alignment horizontal="center" vertical="top"/>
    </xf>
    <xf numFmtId="165" fontId="0" fillId="0" borderId="3" xfId="0" applyBorder="1">
      <alignment vertical="top"/>
    </xf>
    <xf numFmtId="165" fontId="1" fillId="0" borderId="0" xfId="22" applyFont="1" applyFill="1" applyBorder="1">
      <alignment vertical="top"/>
    </xf>
    <xf numFmtId="171" fontId="47" fillId="0" borderId="7" xfId="34" applyFont="1" applyFill="1" applyBorder="1" applyAlignment="1">
      <alignment horizontal="center" vertical="top"/>
    </xf>
    <xf numFmtId="165" fontId="5" fillId="6" borderId="0" xfId="18" applyFont="1" applyFill="1" applyAlignment="1">
      <alignment horizontal="left" vertical="top"/>
    </xf>
    <xf numFmtId="165" fontId="48" fillId="5" borderId="0" xfId="18" applyFont="1" applyFill="1">
      <alignment vertical="top"/>
    </xf>
    <xf numFmtId="169" fontId="5" fillId="0" borderId="0" xfId="2" applyFont="1">
      <alignment vertical="top"/>
    </xf>
    <xf numFmtId="165" fontId="14" fillId="9" borderId="0" xfId="18" applyFont="1" applyFill="1" applyBorder="1">
      <alignment vertical="top"/>
    </xf>
    <xf numFmtId="165" fontId="4" fillId="9" borderId="0" xfId="18" applyFont="1" applyFill="1">
      <alignment vertical="top"/>
    </xf>
    <xf numFmtId="168" fontId="0" fillId="0" borderId="0" xfId="12" applyFont="1">
      <alignment vertical="top"/>
    </xf>
    <xf numFmtId="165" fontId="0" fillId="0" borderId="2" xfId="27" applyFont="1">
      <alignment vertical="top"/>
    </xf>
    <xf numFmtId="171" fontId="1" fillId="0" borderId="0" xfId="34" applyFont="1" applyAlignment="1">
      <alignment horizontal="center" vertical="top"/>
    </xf>
    <xf numFmtId="167" fontId="4" fillId="0" borderId="0" xfId="9" applyFont="1">
      <alignment vertical="top"/>
    </xf>
    <xf numFmtId="167" fontId="1" fillId="0" borderId="0" xfId="9" applyAlignment="1">
      <alignment horizontal="left" vertical="top"/>
    </xf>
    <xf numFmtId="165" fontId="16" fillId="0" borderId="0" xfId="18" applyFont="1" applyFill="1">
      <alignment vertical="top"/>
    </xf>
    <xf numFmtId="165" fontId="1" fillId="0" borderId="0" xfId="22" applyFill="1">
      <alignment vertical="top"/>
    </xf>
    <xf numFmtId="166" fontId="14" fillId="9" borderId="0" xfId="18" applyNumberFormat="1" applyFont="1" applyFill="1" applyBorder="1">
      <alignment vertical="top"/>
    </xf>
    <xf numFmtId="166" fontId="1" fillId="0" borderId="0" xfId="18" applyNumberFormat="1" applyFont="1" applyFill="1" applyBorder="1" applyAlignment="1">
      <alignment horizontal="right" vertical="top"/>
    </xf>
    <xf numFmtId="165" fontId="4" fillId="9" borderId="0" xfId="22" applyFont="1" applyFill="1">
      <alignment vertical="top"/>
    </xf>
    <xf numFmtId="166" fontId="1" fillId="0" borderId="0" xfId="5" applyFont="1" applyFill="1">
      <alignment vertical="top"/>
    </xf>
    <xf numFmtId="165" fontId="7" fillId="0" borderId="0" xfId="18" applyFont="1" applyFill="1">
      <alignment vertical="top"/>
    </xf>
    <xf numFmtId="165" fontId="7" fillId="0" borderId="10" xfId="0" applyFont="1" applyBorder="1" applyAlignment="1">
      <alignment horizontal="center" vertical="center"/>
    </xf>
    <xf numFmtId="176" fontId="1" fillId="0" borderId="0" xfId="26" applyNumberFormat="1" applyFont="1" applyFill="1">
      <alignment vertical="top"/>
    </xf>
    <xf numFmtId="165" fontId="49" fillId="0" borderId="0" xfId="0" applyFont="1">
      <alignment vertical="top"/>
    </xf>
    <xf numFmtId="165" fontId="19" fillId="6" borderId="0" xfId="18" applyFont="1" applyFill="1">
      <alignment vertical="top"/>
    </xf>
    <xf numFmtId="165" fontId="14" fillId="0" borderId="0" xfId="20" applyFont="1" applyAlignment="1">
      <alignment vertical="top" wrapText="1"/>
    </xf>
    <xf numFmtId="165" fontId="50" fillId="0" borderId="0" xfId="22" applyFont="1" applyBorder="1">
      <alignment vertical="top"/>
    </xf>
    <xf numFmtId="165" fontId="1" fillId="7" borderId="7" xfId="18" applyFont="1" applyFill="1" applyBorder="1" applyAlignment="1">
      <alignment horizontal="center" vertical="top" wrapText="1"/>
    </xf>
  </cellXfs>
  <cellStyles count="35">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SubTotal" xfId="27" xr:uid="{00000000-0005-0000-0000-00001B000000}"/>
    <cellStyle name="ReportTotal" xfId="28" xr:uid="{00000000-0005-0000-0000-00001C000000}"/>
    <cellStyle name="Result" xfId="29" xr:uid="{00000000-0005-0000-0000-00001D000000}"/>
    <cellStyle name="Result%" xfId="30" xr:uid="{00000000-0005-0000-0000-00001E000000}"/>
    <cellStyle name="ResultCurrency" xfId="31" xr:uid="{00000000-0005-0000-0000-00001F000000}"/>
    <cellStyle name="ResultDate" xfId="32" xr:uid="{00000000-0005-0000-0000-000020000000}"/>
    <cellStyle name="Year" xfId="33" xr:uid="{00000000-0005-0000-0000-000021000000}"/>
    <cellStyle name="Year 2" xfId="34" xr:uid="{00000000-0005-0000-0000-000022000000}"/>
  </cellStyles>
  <dxfs count="355">
    <dxf>
      <font>
        <color rgb="FFFFCC00"/>
      </font>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indexed="51"/>
        </patternFill>
      </fill>
    </dxf>
    <dxf>
      <fill>
        <patternFill>
          <bgColor indexed="51"/>
        </patternFill>
      </fill>
    </dxf>
    <dxf>
      <fill>
        <patternFill>
          <bgColor theme="9" tint="-0.24991607409894101"/>
        </patternFill>
      </fill>
    </dxf>
    <dxf>
      <fill>
        <patternFill>
          <bgColor theme="8"/>
        </patternFill>
      </fill>
    </dxf>
    <dxf>
      <fill>
        <patternFill>
          <bgColor theme="7" tint="0.39994506668294322"/>
        </patternFill>
      </fill>
    </dxf>
    <dxf>
      <fill>
        <patternFill>
          <bgColor indexed="44"/>
        </patternFill>
      </fill>
    </dxf>
    <dxf>
      <fill>
        <patternFill>
          <bgColor indexed="47"/>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4.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26.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3.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4.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46.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outlinePr summaryBelow="0" summaryRight="0"/>
  </sheetPr>
  <dimension ref="A1:J41"/>
  <sheetViews>
    <sheetView showGridLines="0" workbookViewId="0"/>
  </sheetViews>
  <sheetFormatPr defaultColWidth="0" defaultRowHeight="12.75" customHeight="1" zeroHeight="1"/>
  <cols>
    <col min="1" max="1" width="11.6640625" style="180" customWidth="1"/>
    <col min="2" max="2" width="83.77734375" style="180" bestFit="1" customWidth="1"/>
    <col min="3" max="10" width="11.6640625" style="180" customWidth="1"/>
    <col min="11" max="14" width="11.6640625" style="180" hidden="1" customWidth="1"/>
    <col min="15" max="16384" width="11.6640625" style="180" hidden="1"/>
  </cols>
  <sheetData>
    <row r="1" spans="2:2" ht="12.5"/>
    <row r="2" spans="2:2" ht="12.5"/>
    <row r="3" spans="2:2" ht="12.5"/>
    <row r="4" spans="2:2" ht="12.5"/>
    <row r="5" spans="2:2" ht="23">
      <c r="B5" s="165" t="s">
        <v>157</v>
      </c>
    </row>
    <row r="6" spans="2:2" ht="12.5"/>
    <row r="7" spans="2:2" ht="12.5"/>
    <row r="8" spans="2:2" ht="12.5"/>
    <row r="9" spans="2:2" s="271" customFormat="1" ht="23">
      <c r="B9" s="165" t="s">
        <v>41</v>
      </c>
    </row>
    <row r="10" spans="2:2" ht="12.5"/>
    <row r="11" spans="2:2" ht="12.5">
      <c r="B11" s="245" t="s">
        <v>119</v>
      </c>
    </row>
    <row r="12" spans="2:2" ht="12.5">
      <c r="B12" s="245" t="s">
        <v>291</v>
      </c>
    </row>
    <row r="13" spans="2:2" ht="12.5">
      <c r="B13" s="245" t="s">
        <v>24</v>
      </c>
    </row>
    <row r="14" spans="2:2" ht="12.5"/>
    <row r="15" spans="2:2" ht="12.5"/>
    <row r="16" spans="2:2" ht="12.5"/>
    <row r="17" ht="12.5"/>
    <row r="18" ht="12.5"/>
    <row r="19" ht="12.5"/>
    <row r="20" ht="12.5"/>
    <row r="21" ht="12.5"/>
    <row r="22" ht="12.5"/>
    <row r="23" ht="12.5"/>
    <row r="24" ht="12.5"/>
    <row r="25" ht="12.5"/>
    <row r="26" ht="12.5"/>
    <row r="27" ht="12.5"/>
    <row r="28" ht="12.5"/>
    <row r="29" ht="12.5"/>
    <row r="30" ht="12.5"/>
    <row r="31" ht="12.5"/>
    <row r="32" ht="12.5"/>
    <row r="33" ht="12.5"/>
    <row r="34" ht="12.5"/>
    <row r="35" ht="12.5"/>
    <row r="36" ht="12.5"/>
    <row r="37" ht="12.5"/>
    <row r="38" ht="12.5"/>
    <row r="39" ht="12.5"/>
    <row r="40" ht="12.5"/>
    <row r="41" ht="12.5"/>
  </sheetData>
  <pageMargins left="0.7" right="0.7" top="0.75" bottom="0.75" header="0.3" footer="0.3"/>
  <customProperties>
    <customPr name="MMSheetType" r:id="rId1"/>
  </customPropertie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W138"/>
  <sheetViews>
    <sheetView showGridLines="0" workbookViewId="0"/>
  </sheetViews>
  <sheetFormatPr defaultColWidth="0" defaultRowHeight="10"/>
  <cols>
    <col min="1" max="1" width="36.77734375" style="130" customWidth="1"/>
    <col min="2" max="2" width="28.109375" style="130" customWidth="1"/>
    <col min="3" max="3" width="23.109375" style="130" customWidth="1"/>
    <col min="4" max="4" width="9.33203125" style="130" customWidth="1"/>
    <col min="5" max="26" width="9.33203125" style="130" hidden="1"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Contents</v>
      </c>
    </row>
    <row r="5" spans="1:55" ht="18">
      <c r="A5" s="24" t="s">
        <v>95</v>
      </c>
      <c r="B5" s="175"/>
      <c r="C5" s="175"/>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5">
      <c r="A6" s="202" t="str">
        <f>HYPERLINK("#TOCrepobxIncome_Statement_Year","1.Income Statement")</f>
        <v>1.Income Statement</v>
      </c>
      <c r="B6" s="114"/>
      <c r="C6" s="187"/>
    </row>
    <row r="7" spans="1:55" ht="15.5">
      <c r="A7" s="202"/>
      <c r="B7" s="114"/>
      <c r="C7" s="187"/>
    </row>
    <row r="8" spans="1:55" ht="15.5">
      <c r="A8" s="202" t="str">
        <f>HYPERLINK("#TOCrepobxBalance_Sheet_Year","2.Balance Sheet")</f>
        <v>2.Balance Sheet</v>
      </c>
      <c r="B8" s="114"/>
      <c r="C8" s="187"/>
    </row>
    <row r="9" spans="1:55" ht="15.5">
      <c r="A9" s="202"/>
      <c r="B9" s="114"/>
      <c r="C9" s="187"/>
    </row>
    <row r="10" spans="1:55" ht="15.5">
      <c r="A10" s="202" t="str">
        <f>HYPERLINK("#TOCrepobxCashflow_Year","3.Cashflow")</f>
        <v>3.Cashflow</v>
      </c>
      <c r="B10" s="114"/>
      <c r="C10" s="187"/>
    </row>
    <row r="11" spans="1:55" ht="15.5">
      <c r="A11" s="202"/>
      <c r="B11" s="114"/>
      <c r="C11" s="187"/>
    </row>
    <row r="12" spans="1:55" ht="15.5">
      <c r="A12" s="202" t="str">
        <f>HYPERLINK("#TOCrepobxInventory_Report_Year","4.Inventory Report")</f>
        <v>4.Inventory Report</v>
      </c>
      <c r="B12" s="114"/>
      <c r="C12" s="187"/>
    </row>
    <row r="13" spans="1:55" ht="15.5">
      <c r="A13" s="202"/>
      <c r="B13" s="114"/>
      <c r="C13" s="187"/>
    </row>
    <row r="14" spans="1:55" ht="15.5">
      <c r="A14" s="202" t="str">
        <f>HYPERLINK("#TOCrepobxMetrics_Report_Year","5.Metrics Report")</f>
        <v>5.Metrics Report</v>
      </c>
      <c r="B14" s="114"/>
      <c r="C14" s="187"/>
    </row>
    <row r="15" spans="1:55" ht="15.5">
      <c r="A15" s="202"/>
      <c r="B15" s="114"/>
      <c r="C15" s="187"/>
    </row>
    <row r="16" spans="1:55" ht="15.5">
      <c r="A16" s="202" t="str">
        <f>HYPERLINK("#TOCrepobxIncome_Statement_base_Month","6.Income Statement base")</f>
        <v>6.Income Statement base</v>
      </c>
      <c r="B16" s="114"/>
      <c r="C16" s="187"/>
    </row>
    <row r="17" spans="1:3" ht="15.5">
      <c r="A17" s="202"/>
      <c r="B17" s="114"/>
      <c r="C17" s="187"/>
    </row>
    <row r="18" spans="1:3" ht="15.5">
      <c r="A18" s="202" t="str">
        <f>HYPERLINK("#TOCrepobxIncome_Statement_base_1_Quarter","7.Income Statement base 1")</f>
        <v>7.Income Statement base 1</v>
      </c>
      <c r="B18" s="114"/>
      <c r="C18" s="187"/>
    </row>
    <row r="19" spans="1:3" ht="15.5">
      <c r="A19" s="202"/>
      <c r="B19" s="114"/>
      <c r="C19" s="187"/>
    </row>
    <row r="20" spans="1:3" ht="15.5">
      <c r="A20" s="202" t="str">
        <f>HYPERLINK("#TOCrepobxIncome_Statement_base_2_SemiAnnual","8.Income Statement base 2")</f>
        <v>8.Income Statement base 2</v>
      </c>
      <c r="B20" s="114"/>
      <c r="C20" s="187"/>
    </row>
    <row r="21" spans="1:3" ht="15.5">
      <c r="A21" s="202"/>
      <c r="B21" s="114"/>
      <c r="C21" s="187"/>
    </row>
    <row r="22" spans="1:3" ht="15.5">
      <c r="A22" s="202" t="str">
        <f>HYPERLINK("#TOCrepobxBalance_Sheet_base_Month","9.Balance Sheet base")</f>
        <v>9.Balance Sheet base</v>
      </c>
      <c r="B22" s="114"/>
      <c r="C22" s="187"/>
    </row>
    <row r="23" spans="1:3" ht="15.5">
      <c r="A23" s="202"/>
      <c r="B23" s="114"/>
      <c r="C23" s="187"/>
    </row>
    <row r="24" spans="1:3" ht="15.5">
      <c r="A24" s="202" t="str">
        <f>HYPERLINK("#TOCrepobxBalance_Sheet_base_1_Quarter","10.Balance Sheet base 1")</f>
        <v>10.Balance Sheet base 1</v>
      </c>
      <c r="B24" s="114"/>
      <c r="C24" s="187"/>
    </row>
    <row r="25" spans="1:3" ht="15.5">
      <c r="A25" s="202"/>
      <c r="B25" s="114"/>
      <c r="C25" s="187"/>
    </row>
    <row r="26" spans="1:3" ht="15.5">
      <c r="A26" s="202" t="str">
        <f>HYPERLINK("#TOCrepobxBalance_Sheet_base_2_SemiAnnual","11.Balance Sheet base 2")</f>
        <v>11.Balance Sheet base 2</v>
      </c>
      <c r="B26" s="114"/>
      <c r="C26" s="187"/>
    </row>
    <row r="27" spans="1:3" ht="15.5">
      <c r="A27" s="202"/>
      <c r="B27" s="114"/>
      <c r="C27" s="187"/>
    </row>
    <row r="28" spans="1:3" ht="15.5">
      <c r="A28" s="202" t="str">
        <f>HYPERLINK("#TOCrepobxCashflow_base_Month","12.Cashflow base")</f>
        <v>12.Cashflow base</v>
      </c>
      <c r="B28" s="114"/>
      <c r="C28" s="187"/>
    </row>
    <row r="29" spans="1:3" ht="15.5">
      <c r="A29" s="202"/>
      <c r="B29" s="114"/>
      <c r="C29" s="187"/>
    </row>
    <row r="30" spans="1:3" ht="15.5">
      <c r="A30" s="202" t="str">
        <f>HYPERLINK("#TOCrepobxCashflow_base_1_Quarter","13.Cashflow base 1")</f>
        <v>13.Cashflow base 1</v>
      </c>
      <c r="B30" s="114"/>
      <c r="C30" s="187"/>
    </row>
    <row r="31" spans="1:3" ht="15.5">
      <c r="A31" s="202"/>
      <c r="B31" s="114"/>
      <c r="C31" s="187"/>
    </row>
    <row r="32" spans="1:3" ht="15.5">
      <c r="A32" s="202" t="str">
        <f>HYPERLINK("#TOCrepobxCashflow_base_2_SemiAnnual","14.Cashflow base 2")</f>
        <v>14.Cashflow base 2</v>
      </c>
      <c r="B32" s="114"/>
      <c r="C32" s="187"/>
    </row>
    <row r="33" spans="1:101" ht="15.5">
      <c r="A33" s="202"/>
      <c r="B33" s="114"/>
      <c r="C33" s="187"/>
    </row>
    <row r="34" spans="1:101" ht="15.5">
      <c r="A34" s="202" t="str">
        <f>HYPERLINK("#TOCrepobxInventory_Report_base_Month","15.Inventory Report base")</f>
        <v>15.Inventory Report base</v>
      </c>
      <c r="B34" s="114"/>
      <c r="C34" s="187"/>
    </row>
    <row r="35" spans="1:101" ht="15.5">
      <c r="A35" s="202"/>
      <c r="B35" s="114"/>
      <c r="C35" s="187"/>
    </row>
    <row r="36" spans="1:101" ht="15.5">
      <c r="A36" s="202" t="str">
        <f>HYPERLINK("#TOCrepobxInventory_Report_base_1_Quarter","16.Inventory Report base 1")</f>
        <v>16.Inventory Report base 1</v>
      </c>
      <c r="B36" s="114"/>
      <c r="C36" s="187"/>
    </row>
    <row r="37" spans="1:101" ht="15.5">
      <c r="A37" s="202"/>
      <c r="B37" s="114"/>
      <c r="C37" s="187"/>
    </row>
    <row r="38" spans="1:101" ht="15.5">
      <c r="A38" s="202" t="str">
        <f>HYPERLINK("#TOCrepobxInventory_Report_base_2_SemiAnnual","17.Inventory Report base 2")</f>
        <v>17.Inventory Report base 2</v>
      </c>
      <c r="B38" s="114"/>
      <c r="C38" s="187"/>
    </row>
    <row r="39" spans="1:101" ht="15.5">
      <c r="A39" s="202"/>
      <c r="B39" s="114"/>
      <c r="C39" s="187"/>
    </row>
    <row r="40" spans="1:101" ht="15.5">
      <c r="A40" s="202" t="str">
        <f>HYPERLINK("#TOCrepobxMetrics_Report_base_Month","18.Metrics Report base")</f>
        <v>18.Metrics Report base</v>
      </c>
      <c r="B40" s="114"/>
      <c r="C40" s="187"/>
    </row>
    <row r="41" spans="1:101" ht="15.5">
      <c r="A41" s="202"/>
      <c r="B41" s="114"/>
      <c r="C41" s="187"/>
    </row>
    <row r="42" spans="1:101" ht="15.5">
      <c r="A42" s="202" t="str">
        <f>HYPERLINK("#TOCrepobxMetrics_Report_base_1_Quarter","19.Metrics Report base 1")</f>
        <v>19.Metrics Report base 1</v>
      </c>
      <c r="B42" s="114"/>
      <c r="C42" s="187"/>
    </row>
    <row r="43" spans="1:101" ht="15.5">
      <c r="A43" s="202"/>
      <c r="B43" s="114"/>
      <c r="C43" s="187"/>
    </row>
    <row r="44" spans="1:101" ht="15.5">
      <c r="A44" s="202" t="str">
        <f>HYPERLINK("#TOCrepobxMetrics_Report_base_2_SemiAnnual","20.Metrics Report base 2")</f>
        <v>20.Metrics Report base 2</v>
      </c>
      <c r="B44" s="114"/>
      <c r="C44" s="187"/>
    </row>
    <row r="45" spans="1:101" ht="15.5">
      <c r="A45" s="202"/>
      <c r="B45" s="114"/>
      <c r="C45" s="187"/>
    </row>
    <row r="46" spans="1:101" ht="15.5">
      <c r="A46" s="202"/>
      <c r="B46" s="114"/>
      <c r="C46" s="187"/>
    </row>
    <row r="47" spans="1:101" ht="18">
      <c r="A47" s="24" t="s">
        <v>256</v>
      </c>
      <c r="B47" s="24" t="s">
        <v>92</v>
      </c>
      <c r="C47" s="24" t="s">
        <v>122</v>
      </c>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row>
    <row r="48" spans="1:101" ht="15.5">
      <c r="A48" s="202" t="str">
        <f>HYPERLINK("#TOCobxUnallocated", "1.Unallocated")</f>
        <v>1.Unallocated</v>
      </c>
      <c r="B48" s="114"/>
      <c r="C48" s="187"/>
    </row>
    <row r="49" spans="1:3" ht="15.5">
      <c r="A49" s="202"/>
      <c r="B49" s="114"/>
      <c r="C49" s="187"/>
    </row>
    <row r="50" spans="1:3" ht="15.5">
      <c r="A50" s="202" t="str">
        <f>HYPERLINK("#TOCobxInputs", "2.Inputs")</f>
        <v>2.Inputs</v>
      </c>
      <c r="B50" s="114"/>
      <c r="C50" s="187"/>
    </row>
    <row r="51" spans="1:3" ht="15.5">
      <c r="A51" s="202"/>
      <c r="B51" s="114" t="str">
        <f>HYPERLINK("#TOCobxInputs.Model_Constants", "2.1.Model Constants")</f>
        <v>2.1.Model Constants</v>
      </c>
      <c r="C51" s="187"/>
    </row>
    <row r="52" spans="1:3" ht="15.5">
      <c r="A52" s="202"/>
      <c r="B52" s="114" t="str">
        <f>HYPERLINK("#TOCobxInputs.Customer_Orders", "2.2.Customer Orders")</f>
        <v>2.2.Customer Orders</v>
      </c>
      <c r="C52" s="187"/>
    </row>
    <row r="53" spans="1:3" ht="15.5">
      <c r="A53" s="202"/>
      <c r="B53" s="114" t="str">
        <f>HYPERLINK("#TOCobxInputs.Expense", "2.3.Expense")</f>
        <v>2.3.Expense</v>
      </c>
      <c r="C53" s="187"/>
    </row>
    <row r="54" spans="1:3" ht="15.5">
      <c r="A54" s="202"/>
      <c r="B54" s="114" t="str">
        <f>HYPERLINK("#TOCobxInputs.Supplier_orders", "2.4.Supplier orders")</f>
        <v>2.4.Supplier orders</v>
      </c>
      <c r="C54" s="187"/>
    </row>
    <row r="55" spans="1:3" ht="15.5">
      <c r="A55" s="202"/>
      <c r="B55" s="114" t="str">
        <f>HYPERLINK("#TOCobxInputs.Inventory", "2.5.Inventory")</f>
        <v>2.5.Inventory</v>
      </c>
      <c r="C55" s="187"/>
    </row>
    <row r="56" spans="1:3" ht="15.5">
      <c r="A56" s="202"/>
      <c r="B56" s="114" t="str">
        <f>HYPERLINK("#TOCobxInputs.Opening_Balances", "2.6.Opening Balances")</f>
        <v>2.6.Opening Balances</v>
      </c>
      <c r="C56" s="187"/>
    </row>
    <row r="57" spans="1:3" ht="15.5">
      <c r="A57" s="202"/>
      <c r="B57" s="114" t="str">
        <f>HYPERLINK("#TOCobxInputs.Debt", "2.7.Debt")</f>
        <v>2.7.Debt</v>
      </c>
      <c r="C57" s="187"/>
    </row>
    <row r="58" spans="1:3" ht="15.5">
      <c r="A58" s="202"/>
      <c r="B58" s="114"/>
      <c r="C58" s="187" t="str">
        <f>HYPERLINK("#TOCobxInputs.Debt.Invoice_Finance", "2.7.1.Invoice Finance")</f>
        <v>2.7.1.Invoice Finance</v>
      </c>
    </row>
    <row r="59" spans="1:3" ht="15.5">
      <c r="A59" s="202"/>
      <c r="B59" s="114"/>
      <c r="C59" s="187" t="str">
        <f>HYPERLINK("#TOCobxInputs.Debt.Supply_Chain_Finance", "2.7.2.Supply Chain Finance")</f>
        <v>2.7.2.Supply Chain Finance</v>
      </c>
    </row>
    <row r="60" spans="1:3" ht="15.5">
      <c r="A60" s="202"/>
      <c r="B60" s="114"/>
      <c r="C60" s="187" t="str">
        <f>HYPERLINK("#TOCobxInputs.Debt.Asset_Finance", "2.7.3.Asset Finance")</f>
        <v>2.7.3.Asset Finance</v>
      </c>
    </row>
    <row r="61" spans="1:3" ht="15.5">
      <c r="A61" s="202"/>
      <c r="B61" s="114" t="str">
        <f>HYPERLINK("#TOCobxInputs.VAT", "2.8.VAT")</f>
        <v>2.8.VAT</v>
      </c>
      <c r="C61" s="187"/>
    </row>
    <row r="62" spans="1:3" ht="15.5">
      <c r="A62" s="202"/>
      <c r="B62" s="114" t="str">
        <f>HYPERLINK("#TOCobxInputs.Corporation_Tax", "2.9.Corporation Tax")</f>
        <v>2.9.Corporation Tax</v>
      </c>
      <c r="C62" s="187"/>
    </row>
    <row r="63" spans="1:3" ht="15.5">
      <c r="A63" s="202"/>
      <c r="B63" s="114" t="str">
        <f>HYPERLINK("#TOCobxInputs.Equity", "2.10.Equity")</f>
        <v>2.10.Equity</v>
      </c>
      <c r="C63" s="187"/>
    </row>
    <row r="64" spans="1:3" ht="15.5">
      <c r="A64" s="202"/>
      <c r="B64" s="114" t="str">
        <f>HYPERLINK("#TOCobxInputs.Short_term_forecast", "2.11.Short term forecast")</f>
        <v>2.11.Short term forecast</v>
      </c>
      <c r="C64" s="187"/>
    </row>
    <row r="65" spans="1:3" ht="15.5">
      <c r="A65" s="202"/>
      <c r="B65" s="114"/>
      <c r="C65" s="187"/>
    </row>
    <row r="66" spans="1:3" ht="15.5">
      <c r="A66" s="202" t="str">
        <f>HYPERLINK("#TOCobxTime", "3.Time")</f>
        <v>3.Time</v>
      </c>
      <c r="B66" s="114"/>
      <c r="C66" s="187"/>
    </row>
    <row r="67" spans="1:3" ht="15.5">
      <c r="A67" s="202"/>
      <c r="B67" s="114" t="str">
        <f>HYPERLINK("#TOCobxTime.Headers", "3.1.Headers")</f>
        <v>3.1.Headers</v>
      </c>
      <c r="C67" s="187"/>
    </row>
    <row r="68" spans="1:3" ht="15.5">
      <c r="A68" s="202"/>
      <c r="B68" s="114" t="str">
        <f>HYPERLINK("#TOCobxTime.Customer_Order_Growth_index", "3.2.Customer Order Growth index")</f>
        <v>3.2.Customer Order Growth index</v>
      </c>
      <c r="C68" s="187"/>
    </row>
    <row r="69" spans="1:3" ht="15.5">
      <c r="A69" s="202"/>
      <c r="B69" s="114" t="str">
        <f>HYPERLINK("#TOCobxTime.Fixed_Operating_Cost_Growth_Rate_index", "3.3.Fixed Operating Cost Growth Rate index")</f>
        <v>3.3.Fixed Operating Cost Growth Rate index</v>
      </c>
      <c r="C69" s="187"/>
    </row>
    <row r="70" spans="1:3" ht="15.5">
      <c r="A70" s="202"/>
      <c r="B70" s="114" t="str">
        <f>HYPERLINK("#TOCobxTime.Debts_flags", "3.4.Debts flags")</f>
        <v>3.4.Debts flags</v>
      </c>
      <c r="C70" s="187"/>
    </row>
    <row r="71" spans="1:3" ht="15.5">
      <c r="A71" s="202"/>
      <c r="B71" s="114" t="str">
        <f>HYPERLINK("#TOCobxTime.VAT_return_this_period_flag", "3.5.VAT return this period flag")</f>
        <v>3.5.VAT return this period flag</v>
      </c>
      <c r="C71" s="187"/>
    </row>
    <row r="72" spans="1:3" ht="15.5">
      <c r="A72" s="202"/>
      <c r="B72" s="114" t="str">
        <f>HYPERLINK("#TOCobxTime.Use_short_term_forecast_flag", "3.6.Use short term forecast flag")</f>
        <v>3.6.Use short term forecast flag</v>
      </c>
      <c r="C72" s="187"/>
    </row>
    <row r="73" spans="1:3" ht="15.5">
      <c r="A73" s="202"/>
      <c r="B73" s="114" t="str">
        <f>HYPERLINK("#TOCobxTime.Model_timelines", "3.7.Model timelines")</f>
        <v>3.7.Model timelines</v>
      </c>
      <c r="C73" s="187"/>
    </row>
    <row r="74" spans="1:3" ht="15.5">
      <c r="A74" s="202"/>
      <c r="B74" s="114"/>
      <c r="C74" s="187"/>
    </row>
    <row r="75" spans="1:3" ht="15.5">
      <c r="A75" s="202" t="str">
        <f>HYPERLINK("#TOCobxMetrics", "4.Metrics")</f>
        <v>4.Metrics</v>
      </c>
      <c r="B75" s="114"/>
      <c r="C75" s="187"/>
    </row>
    <row r="76" spans="1:3" ht="15.5">
      <c r="A76" s="202"/>
      <c r="B76" s="114"/>
      <c r="C76" s="187"/>
    </row>
    <row r="77" spans="1:3" ht="15.5">
      <c r="A77" s="202" t="str">
        <f>HYPERLINK("#TOCobxFinancials", "5.Financials")</f>
        <v>5.Financials</v>
      </c>
      <c r="B77" s="114"/>
      <c r="C77" s="187"/>
    </row>
    <row r="78" spans="1:3" ht="15.5">
      <c r="A78" s="202"/>
      <c r="B78" s="114"/>
      <c r="C78" s="187"/>
    </row>
    <row r="79" spans="1:3" ht="15.5">
      <c r="A79" s="202" t="str">
        <f>HYPERLINK("#TOCobxCustomers", "6.Customers")</f>
        <v>6.Customers</v>
      </c>
      <c r="B79" s="114"/>
      <c r="C79" s="187"/>
    </row>
    <row r="80" spans="1:3" ht="15.5">
      <c r="A80" s="202"/>
      <c r="B80" s="114"/>
      <c r="C80" s="187"/>
    </row>
    <row r="81" spans="1:3" ht="15.5">
      <c r="A81" s="202" t="str">
        <f>HYPERLINK("#TOCobxIncome", "7.Income")</f>
        <v>7.Income</v>
      </c>
      <c r="B81" s="114"/>
      <c r="C81" s="187"/>
    </row>
    <row r="82" spans="1:3" ht="15.5">
      <c r="A82" s="202"/>
      <c r="B82" s="114"/>
      <c r="C82" s="187"/>
    </row>
    <row r="83" spans="1:3" ht="15.5">
      <c r="A83" s="202" t="str">
        <f>HYPERLINK("#TOCobxInventory", "8.Inventory")</f>
        <v>8.Inventory</v>
      </c>
      <c r="B83" s="114"/>
      <c r="C83" s="187"/>
    </row>
    <row r="84" spans="1:3" ht="15.5">
      <c r="A84" s="202"/>
      <c r="B84" s="114"/>
      <c r="C84" s="187"/>
    </row>
    <row r="85" spans="1:3" ht="15.5">
      <c r="A85" s="202" t="str">
        <f>HYPERLINK("#TOCobxAssets", "9.Assets")</f>
        <v>9.Assets</v>
      </c>
      <c r="B85" s="114"/>
      <c r="C85" s="187"/>
    </row>
    <row r="86" spans="1:3" ht="15.5">
      <c r="A86" s="202"/>
      <c r="B86" s="114"/>
      <c r="C86" s="187"/>
    </row>
    <row r="87" spans="1:3" ht="15.5">
      <c r="A87" s="237" t="str">
        <f>HYPERLINK("#TOCobxExpense", "10.Expense")</f>
        <v>10.Expense</v>
      </c>
      <c r="B87" s="114"/>
      <c r="C87" s="187"/>
    </row>
    <row r="88" spans="1:3" ht="15.5">
      <c r="A88" s="237"/>
      <c r="B88" s="114"/>
      <c r="C88" s="187"/>
    </row>
    <row r="89" spans="1:3" ht="15.5">
      <c r="A89" s="237" t="str">
        <f>HYPERLINK("#TOCobxWorking_Capital", "11.Working Capital")</f>
        <v>11.Working Capital</v>
      </c>
      <c r="B89" s="114"/>
      <c r="C89" s="187"/>
    </row>
    <row r="90" spans="1:3" ht="15.5">
      <c r="A90" s="237"/>
      <c r="B90" s="114"/>
      <c r="C90" s="187"/>
    </row>
    <row r="91" spans="1:3" ht="15.5">
      <c r="A91" s="237" t="str">
        <f>HYPERLINK("#TOCobxInvoice_finance", "12.Invoice finance")</f>
        <v>12.Invoice finance</v>
      </c>
      <c r="B91" s="114"/>
      <c r="C91" s="187"/>
    </row>
    <row r="92" spans="1:3" ht="15.5">
      <c r="A92" s="237"/>
      <c r="B92" s="114"/>
      <c r="C92" s="187"/>
    </row>
    <row r="93" spans="1:3" ht="15.5">
      <c r="A93" s="237" t="str">
        <f>HYPERLINK("#TOCobxSupply_Chain_finance", "13.Supply Chain finance")</f>
        <v>13.Supply Chain finance</v>
      </c>
      <c r="B93" s="114"/>
      <c r="C93" s="187"/>
    </row>
    <row r="94" spans="1:3" ht="15.5">
      <c r="A94" s="237"/>
      <c r="B94" s="114"/>
      <c r="C94" s="187"/>
    </row>
    <row r="95" spans="1:3" ht="15.5">
      <c r="A95" s="237" t="str">
        <f>HYPERLINK("#TOCobxAsset_Finance", "14.Asset Finance")</f>
        <v>14.Asset Finance</v>
      </c>
      <c r="B95" s="114"/>
      <c r="C95" s="187"/>
    </row>
    <row r="96" spans="1:3" ht="15.5">
      <c r="A96" s="237"/>
      <c r="B96" s="114"/>
      <c r="C96" s="187"/>
    </row>
    <row r="97" spans="1:3" ht="15.5">
      <c r="A97" s="237" t="str">
        <f>HYPERLINK("#TOCobxVAT", "15.VAT")</f>
        <v>15.VAT</v>
      </c>
      <c r="B97" s="114"/>
      <c r="C97" s="187"/>
    </row>
    <row r="98" spans="1:3" ht="15.5">
      <c r="A98" s="237"/>
      <c r="B98" s="114"/>
      <c r="C98" s="187"/>
    </row>
    <row r="99" spans="1:3" ht="15.5">
      <c r="A99" s="237" t="str">
        <f>HYPERLINK("#TOCobxCorporation_tax", "16.Corporation tax")</f>
        <v>16.Corporation tax</v>
      </c>
      <c r="B99" s="114"/>
      <c r="C99" s="187"/>
    </row>
    <row r="100" spans="1:3" ht="15.5">
      <c r="A100" s="237"/>
      <c r="B100" s="114" t="str">
        <f>HYPERLINK("#TOCobxCorporation_tax.Tax_losses", "16.1.Tax losses")</f>
        <v>16.1.Tax losses</v>
      </c>
      <c r="C100" s="187"/>
    </row>
    <row r="101" spans="1:3" ht="15.5">
      <c r="A101" s="237"/>
      <c r="B101" s="114" t="str">
        <f>HYPERLINK("#TOCobxCorporation_tax.Corporation_tax_creditor", "16.2.Corporation tax creditor")</f>
        <v>16.2.Corporation tax creditor</v>
      </c>
      <c r="C101" s="187"/>
    </row>
    <row r="102" spans="1:3" ht="15.5">
      <c r="A102" s="237"/>
      <c r="B102" s="114"/>
      <c r="C102" s="187"/>
    </row>
    <row r="103" spans="1:3" ht="15.5">
      <c r="A103" s="237" t="str">
        <f>HYPERLINK("#TOCobxEquity", "17.Equity")</f>
        <v>17.Equity</v>
      </c>
      <c r="B103" s="114"/>
      <c r="C103" s="187"/>
    </row>
    <row r="104" spans="1:3" ht="15.5">
      <c r="A104" s="237"/>
      <c r="B104" s="114"/>
      <c r="C104" s="187"/>
    </row>
    <row r="105" spans="1:3" ht="15.5">
      <c r="A105" s="237" t="str">
        <f>HYPERLINK("#TOCobxModel_Checks_and_Alerts", "18.Model Checks and Alerts")</f>
        <v>18.Model Checks and Alerts</v>
      </c>
      <c r="B105" s="114"/>
      <c r="C105" s="187"/>
    </row>
    <row r="106" spans="1:3" ht="15.5">
      <c r="A106" s="237"/>
      <c r="B106" s="114" t="str">
        <f>HYPERLINK("#TOCobxModel_Checks_and_Alerts.Model_Checks", "18.1.Model Checks")</f>
        <v>18.1.Model Checks</v>
      </c>
      <c r="C106" s="187"/>
    </row>
    <row r="107" spans="1:3" ht="15.5">
      <c r="A107" s="237"/>
      <c r="B107" s="114"/>
      <c r="C107" s="187"/>
    </row>
    <row r="108" spans="1:3" ht="15.5">
      <c r="A108" s="237"/>
      <c r="B108" s="114"/>
      <c r="C108" s="187"/>
    </row>
    <row r="109" spans="1:3" ht="15.5">
      <c r="A109" s="237"/>
      <c r="B109" s="114"/>
      <c r="C109" s="187"/>
    </row>
    <row r="110" spans="1:3" ht="15.5">
      <c r="A110" s="237"/>
      <c r="B110" s="114"/>
      <c r="C110" s="187"/>
    </row>
    <row r="111" spans="1:3" ht="15.5">
      <c r="A111" s="237"/>
      <c r="B111" s="114"/>
      <c r="C111" s="187"/>
    </row>
    <row r="112" spans="1:3" ht="15.5">
      <c r="A112" s="237"/>
      <c r="B112" s="114"/>
      <c r="C112" s="187"/>
    </row>
    <row r="113" spans="1:3" ht="15.5">
      <c r="A113" s="237"/>
      <c r="B113" s="114"/>
      <c r="C113" s="187"/>
    </row>
    <row r="114" spans="1:3" ht="15.5">
      <c r="A114" s="237"/>
      <c r="B114" s="114"/>
      <c r="C114" s="187"/>
    </row>
    <row r="115" spans="1:3" ht="15.5">
      <c r="A115" s="237"/>
      <c r="B115" s="114"/>
      <c r="C115" s="187"/>
    </row>
    <row r="116" spans="1:3" ht="15.5">
      <c r="A116" s="237"/>
      <c r="B116" s="114"/>
      <c r="C116" s="187"/>
    </row>
    <row r="117" spans="1:3" ht="15.5">
      <c r="A117" s="237"/>
      <c r="B117" s="114"/>
      <c r="C117" s="187"/>
    </row>
    <row r="118" spans="1:3" ht="15.5">
      <c r="A118" s="237"/>
      <c r="B118" s="114"/>
      <c r="C118" s="187"/>
    </row>
    <row r="119" spans="1:3" ht="15.5">
      <c r="A119" s="237"/>
      <c r="B119" s="114"/>
      <c r="C119" s="187"/>
    </row>
    <row r="120" spans="1:3" ht="15.5">
      <c r="A120" s="237"/>
      <c r="B120" s="114"/>
      <c r="C120" s="187"/>
    </row>
    <row r="121" spans="1:3" ht="15.5">
      <c r="A121" s="237"/>
      <c r="B121" s="114"/>
      <c r="C121" s="187"/>
    </row>
    <row r="122" spans="1:3" ht="15.5">
      <c r="A122" s="237"/>
      <c r="B122" s="114"/>
      <c r="C122" s="187"/>
    </row>
    <row r="123" spans="1:3" ht="15.5">
      <c r="A123" s="237"/>
      <c r="B123" s="114"/>
      <c r="C123" s="187"/>
    </row>
    <row r="124" spans="1:3" ht="15.5">
      <c r="A124" s="237"/>
      <c r="B124" s="114"/>
      <c r="C124" s="187"/>
    </row>
    <row r="125" spans="1:3" ht="15.5">
      <c r="A125" s="237"/>
      <c r="B125" s="114"/>
      <c r="C125" s="187"/>
    </row>
    <row r="126" spans="1:3" ht="15.5">
      <c r="A126" s="237"/>
      <c r="B126" s="114"/>
      <c r="C126" s="187"/>
    </row>
    <row r="127" spans="1:3" ht="15.5">
      <c r="A127" s="237"/>
      <c r="B127" s="114"/>
      <c r="C127" s="187"/>
    </row>
    <row r="128" spans="1:3" ht="15.5">
      <c r="A128" s="237"/>
      <c r="B128" s="114"/>
      <c r="C128" s="187"/>
    </row>
    <row r="129" spans="1:3" ht="15.5">
      <c r="A129" s="237"/>
      <c r="B129" s="114"/>
      <c r="C129" s="187"/>
    </row>
    <row r="130" spans="1:3" ht="15.5">
      <c r="A130" s="237"/>
      <c r="B130" s="114"/>
      <c r="C130" s="187"/>
    </row>
    <row r="131" spans="1:3" ht="15.5">
      <c r="A131" s="237"/>
      <c r="B131" s="114"/>
      <c r="C131" s="187"/>
    </row>
    <row r="132" spans="1:3" ht="15.5">
      <c r="A132" s="237"/>
      <c r="B132" s="114"/>
      <c r="C132" s="187"/>
    </row>
    <row r="133" spans="1:3" ht="15.5">
      <c r="A133" s="237"/>
      <c r="B133" s="114"/>
      <c r="C133" s="187"/>
    </row>
    <row r="134" spans="1:3" ht="15.5">
      <c r="A134" s="237"/>
      <c r="B134" s="114"/>
      <c r="C134" s="187"/>
    </row>
    <row r="135" spans="1:3" ht="15.5">
      <c r="A135" s="237"/>
      <c r="B135" s="114"/>
      <c r="C135" s="187"/>
    </row>
    <row r="136" spans="1:3" ht="15.5">
      <c r="A136" s="237"/>
      <c r="B136" s="114"/>
      <c r="C136" s="187"/>
    </row>
    <row r="137" spans="1:3" ht="15.5">
      <c r="A137" s="237"/>
      <c r="B137" s="114"/>
      <c r="C137" s="114"/>
    </row>
    <row r="138" spans="1:3" ht="15.5">
      <c r="A138" s="237"/>
      <c r="B138" s="114"/>
      <c r="C138" s="114"/>
    </row>
  </sheetData>
  <pageMargins left="0.7" right="0.7" top="0.75" bottom="0.75" header="0.3" footer="0.3"/>
  <pageSetup orientation="portrait"/>
  <customProperties>
    <customPr name="MMSheetType"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99"/>
    <outlinePr summaryBelow="0" summaryRight="0"/>
  </sheetPr>
  <dimension ref="A1:W103"/>
  <sheetViews>
    <sheetView showGridLines="0" defaultGridColor="0" colorId="22" zoomScale="80" workbookViewId="0">
      <pane xSplit="10" ySplit="9" topLeftCell="K10" activePane="bottomRight" state="frozen"/>
      <selection pane="topRight" activeCell="K1" sqref="K1"/>
      <selection pane="bottomLeft" activeCell="A10" sqref="A10"/>
      <selection pane="bottomRight" activeCell="D1" sqref="D1:D1048576"/>
    </sheetView>
  </sheetViews>
  <sheetFormatPr defaultColWidth="0" defaultRowHeight="14.5" outlineLevelRow="1"/>
  <cols>
    <col min="1" max="1" width="1.77734375" style="248" customWidth="1"/>
    <col min="2" max="3" width="1.77734375" style="195" customWidth="1"/>
    <col min="4" max="4" width="1.77734375" style="246" customWidth="1"/>
    <col min="5" max="5" width="72.33203125" style="195" bestFit="1" customWidth="1"/>
    <col min="6" max="6" width="19.33203125" style="195" customWidth="1"/>
    <col min="7" max="8" width="47.33203125" style="94" customWidth="1"/>
    <col min="9" max="9" width="5.109375" style="211" customWidth="1"/>
    <col min="10" max="10" width="1.44140625" style="68" customWidth="1"/>
    <col min="11" max="13" width="19.33203125" style="94" customWidth="1"/>
    <col min="14" max="14" width="1.44140625" style="68" customWidth="1"/>
    <col min="15" max="18" width="14.77734375" style="94" bestFit="1" customWidth="1"/>
    <col min="19" max="24" width="11.44140625" style="94" hidden="1" customWidth="1"/>
    <col min="25" max="16384" width="11.44140625" style="94" hidden="1"/>
  </cols>
  <sheetData>
    <row r="1" spans="1:23" ht="25">
      <c r="A1" s="46" t="str">
        <f ca="1">RIGHT(CELL("filename", A1), LEN(CELL("filename", A1)) - SEARCH("]", CELL("filename", A1)))</f>
        <v>InpC</v>
      </c>
      <c r="B1" s="107"/>
      <c r="C1" s="137"/>
      <c r="D1" s="146"/>
      <c r="E1" s="96"/>
      <c r="F1" s="53" t="str">
        <f>HYPERLINK("#Contents!A1","Go to contents")</f>
        <v>Go to contents</v>
      </c>
      <c r="G1" s="96"/>
      <c r="H1" s="96"/>
      <c r="I1" s="96"/>
      <c r="J1" s="135"/>
      <c r="K1" s="96"/>
      <c r="L1" s="96"/>
      <c r="M1" s="96"/>
      <c r="N1" s="135"/>
    </row>
    <row r="2" spans="1:23" ht="36.75" customHeight="1">
      <c r="A2" s="6"/>
      <c r="B2" s="6"/>
      <c r="C2" s="213"/>
      <c r="D2" s="279"/>
      <c r="E2" s="131"/>
      <c r="F2" s="131"/>
      <c r="G2" s="131"/>
      <c r="H2" s="131"/>
      <c r="I2" s="107"/>
      <c r="J2" s="166"/>
      <c r="K2" s="138" t="str">
        <f>IF(K3 = $F3, "q", "")</f>
        <v>q</v>
      </c>
      <c r="L2" s="138" t="str">
        <f>IF(L3 = $F3, "q", "")</f>
        <v/>
      </c>
      <c r="M2" s="138" t="str">
        <f>IF(M3 = $F3, "q", "")</f>
        <v/>
      </c>
      <c r="N2" s="166"/>
    </row>
    <row r="3" spans="1:23" ht="14.25" customHeight="1">
      <c r="A3" s="107"/>
      <c r="B3" s="107"/>
      <c r="C3" s="137"/>
      <c r="D3" s="146"/>
      <c r="E3" s="6"/>
      <c r="F3" s="287" t="str">
        <f>INDEX(J3:S3,MATCH(F4,J4:S4,0))</f>
        <v>Base case 1</v>
      </c>
      <c r="G3" s="218"/>
      <c r="H3" s="6"/>
      <c r="I3" s="96"/>
      <c r="J3" s="186"/>
      <c r="K3" s="112" t="s">
        <v>230</v>
      </c>
      <c r="L3" s="112" t="s">
        <v>311</v>
      </c>
      <c r="M3" s="112" t="s">
        <v>69</v>
      </c>
      <c r="N3" s="186"/>
      <c r="O3" s="112" t="s">
        <v>310</v>
      </c>
      <c r="P3" s="112" t="s">
        <v>42</v>
      </c>
      <c r="Q3" s="112" t="s">
        <v>143</v>
      </c>
      <c r="R3" s="112" t="s">
        <v>231</v>
      </c>
    </row>
    <row r="4" spans="1:23">
      <c r="A4" s="196"/>
      <c r="B4" s="196"/>
      <c r="C4" s="291"/>
      <c r="D4" s="236"/>
      <c r="E4" s="15" t="s">
        <v>121</v>
      </c>
      <c r="F4" s="261">
        <v>1</v>
      </c>
      <c r="G4" s="15"/>
      <c r="H4" s="15"/>
      <c r="I4" s="269">
        <f>MATCH(F4, $J$4:$S$4, 0)</f>
        <v>2</v>
      </c>
      <c r="J4" s="116"/>
      <c r="K4" s="104">
        <v>1</v>
      </c>
      <c r="L4" s="104">
        <v>2</v>
      </c>
      <c r="M4" s="104">
        <v>3</v>
      </c>
      <c r="N4" s="116"/>
      <c r="O4" s="133">
        <v>4</v>
      </c>
      <c r="P4" s="133">
        <v>5</v>
      </c>
      <c r="Q4" s="133">
        <v>6</v>
      </c>
      <c r="R4" s="133">
        <v>7</v>
      </c>
    </row>
    <row r="5" spans="1:23">
      <c r="A5" s="196"/>
      <c r="B5" s="196"/>
      <c r="C5" s="291"/>
      <c r="D5" s="236"/>
      <c r="E5" s="15" t="s">
        <v>142</v>
      </c>
      <c r="F5" s="209">
        <v>1</v>
      </c>
      <c r="G5" s="15"/>
      <c r="H5" s="15"/>
      <c r="I5" s="269">
        <f>MATCH(F5, $J$4:$S$4, 0)</f>
        <v>2</v>
      </c>
      <c r="J5" s="116"/>
      <c r="K5" s="15"/>
      <c r="L5" s="15"/>
      <c r="M5" s="15"/>
      <c r="N5" s="116"/>
      <c r="O5" s="15"/>
      <c r="P5" s="15"/>
      <c r="Q5" s="15"/>
      <c r="R5" s="15"/>
    </row>
    <row r="6" spans="1:23">
      <c r="A6" s="196"/>
      <c r="B6" s="196"/>
      <c r="C6" s="291"/>
      <c r="D6" s="236"/>
      <c r="E6" s="15" t="s">
        <v>159</v>
      </c>
      <c r="F6" s="255">
        <f>INDEX(J6:S6,MATCH(F4,J4:S4,0))</f>
        <v>1</v>
      </c>
      <c r="G6" s="15"/>
      <c r="H6" s="15"/>
      <c r="I6" s="269">
        <f>MATCH(F6, $J$4:$S$4, 0)</f>
        <v>2</v>
      </c>
      <c r="J6" s="116"/>
      <c r="K6" s="104">
        <v>1</v>
      </c>
      <c r="L6" s="104">
        <v>2</v>
      </c>
      <c r="M6" s="104">
        <v>3</v>
      </c>
      <c r="N6" s="116"/>
      <c r="O6" s="104">
        <v>1</v>
      </c>
      <c r="P6" s="104">
        <v>1</v>
      </c>
      <c r="Q6" s="104">
        <v>2</v>
      </c>
      <c r="R6" s="104">
        <v>2</v>
      </c>
    </row>
    <row r="7" spans="1:23">
      <c r="A7" s="107"/>
      <c r="B7" s="107"/>
      <c r="C7" s="137"/>
      <c r="D7" s="146"/>
      <c r="E7" s="15" t="s">
        <v>68</v>
      </c>
      <c r="F7" s="266">
        <f>COUNTIF( $I$13:$I$103, "tu" )</f>
        <v>0</v>
      </c>
      <c r="G7" s="15"/>
      <c r="H7" s="15"/>
      <c r="J7" s="116"/>
      <c r="K7" s="144" t="str">
        <f>IF(K6 = $F$5, "Base case", "")</f>
        <v>Base case</v>
      </c>
      <c r="L7" s="144" t="str">
        <f>IF(L6 = $F$5, "Base case", "")</f>
        <v/>
      </c>
      <c r="M7" s="144" t="str">
        <f>IF(M6 = $F$5, "Base case", "")</f>
        <v/>
      </c>
      <c r="N7" s="116"/>
      <c r="O7" s="15"/>
      <c r="P7" s="15"/>
      <c r="Q7" s="15"/>
      <c r="R7" s="15"/>
    </row>
    <row r="8" spans="1:23">
      <c r="A8" s="107"/>
      <c r="B8" s="107"/>
      <c r="C8" s="137"/>
      <c r="D8" s="146"/>
      <c r="E8" s="94"/>
      <c r="F8" s="94"/>
      <c r="I8" s="277"/>
      <c r="J8" s="135"/>
      <c r="K8" s="96"/>
      <c r="L8" s="96"/>
      <c r="M8" s="96"/>
      <c r="N8" s="135"/>
    </row>
    <row r="9" spans="1:23">
      <c r="A9" s="107"/>
      <c r="B9" s="107"/>
      <c r="C9" s="137"/>
      <c r="D9" s="146"/>
      <c r="E9" s="96"/>
      <c r="F9" s="107" t="s">
        <v>254</v>
      </c>
      <c r="G9" s="107" t="s">
        <v>228</v>
      </c>
      <c r="H9" s="107" t="s">
        <v>94</v>
      </c>
      <c r="I9" s="98"/>
      <c r="J9" s="135"/>
      <c r="K9" s="96"/>
      <c r="L9" s="96"/>
      <c r="M9" s="96"/>
      <c r="N9" s="135"/>
    </row>
    <row r="10" spans="1:23">
      <c r="A10" s="107"/>
      <c r="B10" s="107"/>
      <c r="C10" s="137"/>
      <c r="D10" s="146"/>
      <c r="E10" s="96"/>
      <c r="F10" s="107"/>
      <c r="G10" s="107"/>
      <c r="H10" s="107"/>
      <c r="I10" s="98"/>
      <c r="J10" s="135"/>
      <c r="K10" s="96"/>
      <c r="L10" s="96"/>
      <c r="M10" s="96"/>
      <c r="N10" s="135"/>
    </row>
    <row r="11" spans="1:23">
      <c r="A11" s="107"/>
      <c r="B11" s="107"/>
      <c r="C11" s="137"/>
      <c r="D11" s="146"/>
      <c r="E11" s="96"/>
      <c r="F11" s="107"/>
      <c r="G11" s="107"/>
      <c r="H11" s="107"/>
      <c r="I11" s="98"/>
      <c r="J11" s="135"/>
      <c r="K11" s="96"/>
      <c r="L11" s="96"/>
      <c r="M11" s="96"/>
      <c r="N11" s="135"/>
    </row>
    <row r="12" spans="1:23">
      <c r="A12" s="107"/>
      <c r="B12" s="107"/>
      <c r="C12" s="137"/>
      <c r="D12" s="146"/>
      <c r="E12" s="96"/>
      <c r="F12" s="107"/>
      <c r="G12" s="107"/>
      <c r="H12" s="107"/>
      <c r="I12" s="98"/>
      <c r="J12" s="135"/>
      <c r="K12" s="96"/>
      <c r="L12" s="96"/>
      <c r="M12" s="96"/>
      <c r="N12" s="135"/>
    </row>
    <row r="13" spans="1:23">
      <c r="A13" s="107" t="s">
        <v>333</v>
      </c>
      <c r="B13" s="107"/>
      <c r="C13" s="137"/>
      <c r="D13" s="146"/>
      <c r="E13" s="96"/>
      <c r="F13" s="96"/>
      <c r="G13" s="96"/>
      <c r="H13" s="96"/>
      <c r="I13" s="98" t="str">
        <f>IF( INDEX(J13:S13, I$5) = "", IF( INDEX(J13:S13, I$4) = F13, "vw", "tu"), IF(INDEX(J13:S13, I$5) = F13, "vw", "tu"))</f>
        <v>vw</v>
      </c>
      <c r="J13" s="135"/>
      <c r="K13" s="96"/>
      <c r="L13" s="96"/>
      <c r="M13" s="96"/>
      <c r="N13" s="135"/>
      <c r="O13" s="43"/>
      <c r="P13" s="43"/>
      <c r="Q13" s="43"/>
      <c r="R13" s="43"/>
    </row>
    <row r="14" spans="1:23">
      <c r="A14" s="107"/>
      <c r="B14" s="107"/>
      <c r="C14" s="137"/>
      <c r="D14" s="146"/>
      <c r="E14" s="139" t="s">
        <v>257</v>
      </c>
      <c r="F14" s="99">
        <f t="shared" ref="F14:F22" si="0">IF(INDEX(J14:X14,$I$4)="",INDEX(J14:X14,$I$6),INDEX(J14:X14,$I$4))</f>
        <v>0.9</v>
      </c>
      <c r="G14" s="139" t="s">
        <v>208</v>
      </c>
      <c r="H14" s="139"/>
      <c r="I14" s="98" t="str">
        <f>IF( INDEX(J14:S14, I$5) = "", IF( INDEX(J14:S14, I$4) = F14, "vw", "tu"), IF(INDEX(J14:S14, I$5) = F14, "vw", "tu"))</f>
        <v>vw</v>
      </c>
      <c r="J14" s="203"/>
      <c r="K14" s="31">
        <v>0.9</v>
      </c>
      <c r="L14" s="31">
        <v>0.9</v>
      </c>
      <c r="M14" s="31">
        <v>0.9</v>
      </c>
      <c r="N14" s="203"/>
      <c r="O14" s="31">
        <v>0.9</v>
      </c>
      <c r="P14" s="31">
        <v>0.9</v>
      </c>
      <c r="Q14" s="31">
        <v>0.9</v>
      </c>
      <c r="R14" s="31">
        <v>0.9</v>
      </c>
      <c r="T14" s="43"/>
      <c r="U14" s="43"/>
      <c r="V14" s="43"/>
      <c r="W14" s="43"/>
    </row>
    <row r="15" spans="1:23">
      <c r="E15" s="66" t="s">
        <v>185</v>
      </c>
      <c r="F15" s="95">
        <f t="shared" si="0"/>
        <v>500</v>
      </c>
      <c r="G15" s="66" t="s">
        <v>123</v>
      </c>
      <c r="I15" s="98" t="str">
        <f>IF( INDEX(J15:S15, I$5) = "", IF( INDEX(J15:S15, I$4) = F15, "vw", "tu"), IF(INDEX(J15:S15, I$5) = F15, "vw", "tu"))</f>
        <v>vw</v>
      </c>
      <c r="K15" s="16">
        <v>500</v>
      </c>
      <c r="L15" s="16">
        <v>500</v>
      </c>
      <c r="M15" s="16"/>
      <c r="O15" s="16"/>
      <c r="P15" s="16"/>
      <c r="Q15" s="16"/>
      <c r="R15" s="16"/>
      <c r="T15" s="43"/>
      <c r="U15" s="43"/>
      <c r="V15" s="43"/>
      <c r="W15" s="43"/>
    </row>
    <row r="16" spans="1:23">
      <c r="E16" s="78" t="s">
        <v>70</v>
      </c>
      <c r="F16" s="99">
        <f t="shared" si="0"/>
        <v>1</v>
      </c>
      <c r="G16" s="78" t="s">
        <v>208</v>
      </c>
      <c r="H16" s="103"/>
      <c r="I16" s="98" t="str">
        <f>IF( INDEX(J16:S16, I$5) = "", IF( INDEX(J16:S16, I$4) = F16, "vw", "tu"), IF(INDEX(J16:S16, I$5) = F16, "vw", "tu"))</f>
        <v>vw</v>
      </c>
      <c r="J16" s="79"/>
      <c r="K16" s="31">
        <v>1</v>
      </c>
      <c r="L16" s="31">
        <v>1</v>
      </c>
      <c r="M16" s="31">
        <v>1</v>
      </c>
      <c r="N16" s="79"/>
      <c r="O16" s="31">
        <v>1</v>
      </c>
      <c r="P16" s="31">
        <v>1</v>
      </c>
      <c r="Q16" s="31">
        <v>1</v>
      </c>
      <c r="R16" s="31">
        <v>1</v>
      </c>
      <c r="T16" s="43"/>
      <c r="U16" s="43"/>
      <c r="V16" s="43"/>
      <c r="W16" s="43"/>
    </row>
    <row r="17" spans="1:23">
      <c r="E17" s="66" t="s">
        <v>209</v>
      </c>
      <c r="F17" s="95">
        <f t="shared" si="0"/>
        <v>1</v>
      </c>
      <c r="G17" s="66"/>
      <c r="I17" s="98" t="str">
        <f>IF( INDEX(J17:S17, I$5) = "", IF( INDEX(J17:S17, I$4) = F17, "vw", "tu"), IF(INDEX(J17:S17, I$5) = F17, "vw", "tu"))</f>
        <v>vw</v>
      </c>
      <c r="K17" s="16">
        <v>1</v>
      </c>
      <c r="L17" s="16">
        <v>1</v>
      </c>
      <c r="M17" s="16">
        <v>1</v>
      </c>
      <c r="O17" s="16">
        <v>1</v>
      </c>
      <c r="P17" s="16">
        <v>1</v>
      </c>
      <c r="Q17" s="16">
        <v>1</v>
      </c>
      <c r="R17" s="16">
        <v>1</v>
      </c>
      <c r="T17" s="43"/>
      <c r="U17" s="43"/>
      <c r="V17" s="43"/>
      <c r="W17" s="43"/>
    </row>
    <row r="18" spans="1:23">
      <c r="E18" s="66" t="s">
        <v>186</v>
      </c>
      <c r="F18" s="95">
        <f t="shared" si="0"/>
        <v>0</v>
      </c>
      <c r="G18" s="66" t="s">
        <v>123</v>
      </c>
      <c r="I18" s="98" t="str">
        <f>IF( INDEX(J18:S18, I$5) = "", IF( INDEX(J18:S18, I$4) = F18, "vw", "tu"), IF(INDEX(J18:S18, I$5) = F18, "vw", "tu"))</f>
        <v>vw</v>
      </c>
      <c r="K18" s="16">
        <v>0</v>
      </c>
      <c r="L18" s="16">
        <v>0</v>
      </c>
      <c r="M18" s="16">
        <v>0</v>
      </c>
      <c r="O18" s="16">
        <v>0</v>
      </c>
      <c r="P18" s="16">
        <v>0</v>
      </c>
      <c r="Q18" s="16">
        <v>0</v>
      </c>
      <c r="R18" s="16">
        <v>0</v>
      </c>
      <c r="T18" s="43"/>
      <c r="U18" s="43"/>
      <c r="V18" s="43"/>
      <c r="W18" s="43"/>
    </row>
    <row r="19" spans="1:23">
      <c r="E19" s="66" t="s">
        <v>313</v>
      </c>
      <c r="F19" s="95">
        <f t="shared" si="0"/>
        <v>2</v>
      </c>
      <c r="G19" s="66" t="s">
        <v>71</v>
      </c>
      <c r="I19" s="98" t="str">
        <f>IF( INDEX(J19:S19, I$5) = "", IF( INDEX(J19:S19, I$4) = F19, "vw", "tu"), IF(INDEX(J19:S19, I$5) = F19, "vw", "tu"))</f>
        <v>vw</v>
      </c>
      <c r="K19" s="16">
        <v>2</v>
      </c>
      <c r="L19" s="16"/>
      <c r="M19" s="16"/>
      <c r="O19" s="16"/>
      <c r="P19" s="16"/>
      <c r="Q19" s="16"/>
      <c r="R19" s="16"/>
      <c r="T19" s="43"/>
      <c r="U19" s="43"/>
      <c r="V19" s="43"/>
      <c r="W19" s="43"/>
    </row>
    <row r="20" spans="1:23">
      <c r="E20" s="66" t="s">
        <v>275</v>
      </c>
      <c r="F20" s="95">
        <f t="shared" si="0"/>
        <v>12</v>
      </c>
      <c r="G20" s="66" t="s">
        <v>258</v>
      </c>
      <c r="I20" s="98" t="str">
        <f>IF( INDEX(J20:S20, I$5) = "", IF( INDEX(J20:S20, I$4) = F20, "vw", "tu"), IF(INDEX(J20:S20, I$5) = F20, "vw", "tu"))</f>
        <v>vw</v>
      </c>
      <c r="K20" s="16">
        <v>12</v>
      </c>
      <c r="L20" s="16"/>
      <c r="M20" s="16"/>
      <c r="O20" s="16"/>
      <c r="P20" s="16"/>
      <c r="Q20" s="16"/>
      <c r="R20" s="16"/>
      <c r="T20" s="43"/>
      <c r="U20" s="43"/>
      <c r="V20" s="43"/>
      <c r="W20" s="43"/>
    </row>
    <row r="21" spans="1:23">
      <c r="E21" s="66" t="s">
        <v>276</v>
      </c>
      <c r="F21" s="95">
        <f t="shared" si="0"/>
        <v>24</v>
      </c>
      <c r="G21" s="66" t="s">
        <v>71</v>
      </c>
      <c r="I21" s="98" t="str">
        <f>IF( INDEX(J21:S21, I$5) = "", IF( INDEX(J21:S21, I$4) = F21, "vw", "tu"), IF(INDEX(J21:S21, I$5) = F21, "vw", "tu"))</f>
        <v>vw</v>
      </c>
      <c r="K21" s="16">
        <v>24</v>
      </c>
      <c r="L21" s="16"/>
      <c r="M21" s="16"/>
      <c r="O21" s="16"/>
      <c r="P21" s="16"/>
      <c r="Q21" s="16"/>
      <c r="R21" s="16"/>
      <c r="T21" s="43"/>
      <c r="U21" s="43"/>
      <c r="V21" s="43"/>
      <c r="W21" s="43"/>
    </row>
    <row r="22" spans="1:23">
      <c r="E22" s="66" t="s">
        <v>3</v>
      </c>
      <c r="F22" s="95">
        <f t="shared" si="0"/>
        <v>12</v>
      </c>
      <c r="G22" s="66" t="s">
        <v>71</v>
      </c>
      <c r="I22" s="98" t="str">
        <f>IF( INDEX(J22:S22, I$5) = "", IF( INDEX(J22:S22, I$4) = F22, "vw", "tu"), IF(INDEX(J22:S22, I$5) = F22, "vw", "tu"))</f>
        <v>vw</v>
      </c>
      <c r="K22" s="16">
        <v>12</v>
      </c>
      <c r="L22" s="16">
        <v>12</v>
      </c>
      <c r="M22" s="16">
        <v>12</v>
      </c>
      <c r="O22" s="16">
        <v>12</v>
      </c>
      <c r="P22" s="16">
        <v>12</v>
      </c>
      <c r="Q22" s="16">
        <v>12</v>
      </c>
      <c r="R22" s="16">
        <v>12</v>
      </c>
      <c r="T22" s="43"/>
      <c r="U22" s="43"/>
      <c r="V22" s="43"/>
      <c r="W22" s="43"/>
    </row>
    <row r="24" spans="1:23">
      <c r="A24" s="248" t="s">
        <v>161</v>
      </c>
    </row>
    <row r="25" spans="1:23">
      <c r="E25" s="66" t="s">
        <v>99</v>
      </c>
      <c r="F25" s="95">
        <f t="shared" ref="F25:F28" si="1">IF(INDEX(J25:X25,$I$4)="",INDEX(J25:X25,$I$6),INDEX(J25:X25,$I$4))</f>
        <v>45000</v>
      </c>
      <c r="G25" s="66" t="s">
        <v>258</v>
      </c>
      <c r="I25" s="98" t="str">
        <f>IF( INDEX(J25:S25, I$5) = "", IF( INDEX(J25:S25, I$4) = F25, "vw", "tu"), IF(INDEX(J25:S25, I$5) = F25, "vw", "tu"))</f>
        <v>vw</v>
      </c>
      <c r="K25" s="16">
        <v>45000</v>
      </c>
      <c r="L25" s="16">
        <v>25000</v>
      </c>
      <c r="M25" s="16">
        <v>25000</v>
      </c>
      <c r="O25" s="16">
        <v>25000</v>
      </c>
      <c r="P25" s="16">
        <v>25000</v>
      </c>
      <c r="Q25" s="16">
        <v>25000</v>
      </c>
      <c r="R25" s="16">
        <v>25000</v>
      </c>
      <c r="T25" s="43"/>
      <c r="U25" s="43"/>
      <c r="V25" s="43"/>
      <c r="W25" s="43"/>
    </row>
    <row r="26" spans="1:23">
      <c r="E26" s="78" t="s">
        <v>334</v>
      </c>
      <c r="F26" s="99">
        <f t="shared" si="1"/>
        <v>0.1</v>
      </c>
      <c r="G26" s="78" t="s">
        <v>208</v>
      </c>
      <c r="H26" s="103"/>
      <c r="I26" s="98" t="str">
        <f>IF( INDEX(J26:S26, I$5) = "", IF( INDEX(J26:S26, I$4) = F26, "vw", "tu"), IF(INDEX(J26:S26, I$5) = F26, "vw", "tu"))</f>
        <v>vw</v>
      </c>
      <c r="J26" s="79"/>
      <c r="K26" s="31">
        <v>0.1</v>
      </c>
      <c r="L26" s="31">
        <v>0.1</v>
      </c>
      <c r="M26" s="31">
        <v>0.1</v>
      </c>
      <c r="N26" s="79"/>
      <c r="O26" s="31">
        <v>0.1</v>
      </c>
      <c r="P26" s="31">
        <v>0.1</v>
      </c>
      <c r="Q26" s="31">
        <v>0.1</v>
      </c>
      <c r="R26" s="31">
        <v>0.1</v>
      </c>
      <c r="T26" s="43"/>
      <c r="U26" s="43"/>
      <c r="V26" s="43"/>
      <c r="W26" s="43"/>
    </row>
    <row r="27" spans="1:23">
      <c r="E27" s="66" t="s">
        <v>314</v>
      </c>
      <c r="F27" s="95">
        <f t="shared" si="1"/>
        <v>3</v>
      </c>
      <c r="G27" s="66" t="s">
        <v>71</v>
      </c>
      <c r="I27" s="98" t="str">
        <f>IF( INDEX(J27:S27, I$5) = "", IF( INDEX(J27:S27, I$4) = F27, "vw", "tu"), IF(INDEX(J27:S27, I$5) = F27, "vw", "tu"))</f>
        <v>vw</v>
      </c>
      <c r="K27" s="16">
        <v>3</v>
      </c>
      <c r="L27" s="16">
        <v>3</v>
      </c>
      <c r="M27" s="16">
        <v>3</v>
      </c>
      <c r="O27" s="16">
        <v>3</v>
      </c>
      <c r="P27" s="16">
        <v>3</v>
      </c>
      <c r="Q27" s="16">
        <v>3</v>
      </c>
      <c r="R27" s="16">
        <v>3</v>
      </c>
      <c r="T27" s="43"/>
      <c r="U27" s="43"/>
      <c r="V27" s="43"/>
      <c r="W27" s="43"/>
    </row>
    <row r="28" spans="1:23">
      <c r="E28" s="78" t="s">
        <v>315</v>
      </c>
      <c r="F28" s="99">
        <f t="shared" si="1"/>
        <v>0.05</v>
      </c>
      <c r="G28" s="78" t="s">
        <v>208</v>
      </c>
      <c r="H28" s="103"/>
      <c r="I28" s="98" t="str">
        <f>IF( INDEX(J28:S28, I$5) = "", IF( INDEX(J28:S28, I$4) = F28, "vw", "tu"), IF(INDEX(J28:S28, I$5) = F28, "vw", "tu"))</f>
        <v>vw</v>
      </c>
      <c r="J28" s="79"/>
      <c r="K28" s="31">
        <v>0.05</v>
      </c>
      <c r="L28" s="31">
        <v>0.05</v>
      </c>
      <c r="M28" s="31">
        <v>0.05</v>
      </c>
      <c r="N28" s="79"/>
      <c r="O28" s="31">
        <v>0.05</v>
      </c>
      <c r="P28" s="31">
        <v>0.05</v>
      </c>
      <c r="Q28" s="31">
        <v>0.05</v>
      </c>
      <c r="R28" s="31">
        <v>0.05</v>
      </c>
      <c r="T28" s="43"/>
      <c r="U28" s="43"/>
      <c r="V28" s="43"/>
      <c r="W28" s="43"/>
    </row>
    <row r="30" spans="1:23">
      <c r="A30" s="248" t="s">
        <v>26</v>
      </c>
    </row>
    <row r="31" spans="1:23">
      <c r="E31" s="66" t="s">
        <v>72</v>
      </c>
      <c r="F31" s="95">
        <f t="shared" ref="F31:F35" si="2">IF(INDEX(J31:X31,$I$4)="",INDEX(J31:X31,$I$6),INDEX(J31:X31,$I$4))</f>
        <v>1000</v>
      </c>
      <c r="G31" s="66" t="s">
        <v>123</v>
      </c>
      <c r="I31" s="98" t="str">
        <f>IF( INDEX(J31:S31, I$5) = "", IF( INDEX(J31:S31, I$4) = F31, "vw", "tu"), IF(INDEX(J31:S31, I$5) = F31, "vw", "tu"))</f>
        <v>vw</v>
      </c>
      <c r="K31" s="16">
        <v>1000</v>
      </c>
      <c r="L31" s="16">
        <v>1000</v>
      </c>
      <c r="M31" s="16">
        <v>1000</v>
      </c>
      <c r="O31" s="16">
        <v>1000</v>
      </c>
      <c r="P31" s="16">
        <v>1000</v>
      </c>
      <c r="Q31" s="16">
        <v>1000</v>
      </c>
      <c r="R31" s="16">
        <v>1000</v>
      </c>
      <c r="T31" s="43"/>
      <c r="U31" s="43"/>
      <c r="V31" s="43"/>
      <c r="W31" s="43"/>
    </row>
    <row r="32" spans="1:23">
      <c r="E32" s="78" t="s">
        <v>46</v>
      </c>
      <c r="F32" s="99">
        <f t="shared" si="2"/>
        <v>0.3</v>
      </c>
      <c r="G32" s="78" t="s">
        <v>208</v>
      </c>
      <c r="H32" s="103"/>
      <c r="I32" s="98" t="str">
        <f>IF( INDEX(J32:S32, I$5) = "", IF( INDEX(J32:S32, I$4) = F32, "vw", "tu"), IF(INDEX(J32:S32, I$5) = F32, "vw", "tu"))</f>
        <v>vw</v>
      </c>
      <c r="J32" s="79"/>
      <c r="K32" s="31">
        <v>0.3</v>
      </c>
      <c r="L32" s="31"/>
      <c r="M32" s="31"/>
      <c r="N32" s="79"/>
      <c r="O32" s="31"/>
      <c r="P32" s="31"/>
      <c r="Q32" s="31"/>
      <c r="R32" s="31"/>
      <c r="T32" s="43"/>
      <c r="U32" s="43"/>
      <c r="V32" s="43"/>
      <c r="W32" s="43"/>
    </row>
    <row r="33" spans="1:23">
      <c r="E33" s="66" t="s">
        <v>47</v>
      </c>
      <c r="F33" s="95">
        <f t="shared" si="2"/>
        <v>6</v>
      </c>
      <c r="G33" s="66" t="s">
        <v>71</v>
      </c>
      <c r="I33" s="98" t="str">
        <f>IF( INDEX(J33:S33, I$5) = "", IF( INDEX(J33:S33, I$4) = F33, "vw", "tu"), IF(INDEX(J33:S33, I$5) = F33, "vw", "tu"))</f>
        <v>vw</v>
      </c>
      <c r="K33" s="16">
        <v>6</v>
      </c>
      <c r="L33" s="16"/>
      <c r="M33" s="16"/>
      <c r="O33" s="16"/>
      <c r="P33" s="16"/>
      <c r="Q33" s="16"/>
      <c r="R33" s="16"/>
      <c r="T33" s="43"/>
      <c r="U33" s="43"/>
      <c r="V33" s="43"/>
      <c r="W33" s="43"/>
    </row>
    <row r="34" spans="1:23">
      <c r="E34" s="66" t="s">
        <v>210</v>
      </c>
      <c r="F34" s="95">
        <f t="shared" si="2"/>
        <v>35</v>
      </c>
      <c r="G34" s="66" t="s">
        <v>258</v>
      </c>
      <c r="I34" s="98" t="str">
        <f>IF( INDEX(J34:S34, I$5) = "", IF( INDEX(J34:S34, I$4) = F34, "vw", "tu"), IF(INDEX(J34:S34, I$5) = F34, "vw", "tu"))</f>
        <v>vw</v>
      </c>
      <c r="K34" s="16">
        <v>35</v>
      </c>
      <c r="L34" s="16"/>
      <c r="M34" s="16"/>
      <c r="O34" s="16"/>
      <c r="P34" s="16"/>
      <c r="Q34" s="16"/>
      <c r="R34" s="16"/>
      <c r="T34" s="43"/>
      <c r="U34" s="43"/>
      <c r="V34" s="43"/>
      <c r="W34" s="43"/>
    </row>
    <row r="35" spans="1:23">
      <c r="E35" s="66" t="s">
        <v>293</v>
      </c>
      <c r="F35" s="95">
        <f t="shared" si="2"/>
        <v>5000</v>
      </c>
      <c r="G35" s="66" t="s">
        <v>123</v>
      </c>
      <c r="I35" s="98" t="str">
        <f>IF( INDEX(J35:S35, I$5) = "", IF( INDEX(J35:S35, I$4) = F35, "vw", "tu"), IF(INDEX(J35:S35, I$5) = F35, "vw", "tu"))</f>
        <v>vw</v>
      </c>
      <c r="K35" s="16">
        <v>5000</v>
      </c>
      <c r="L35" s="16"/>
      <c r="M35" s="16"/>
      <c r="O35" s="16"/>
      <c r="P35" s="16"/>
      <c r="Q35" s="16"/>
      <c r="R35" s="16"/>
      <c r="T35" s="43"/>
      <c r="U35" s="43"/>
      <c r="V35" s="43"/>
      <c r="W35" s="43"/>
    </row>
    <row r="37" spans="1:23">
      <c r="A37" s="248" t="s">
        <v>211</v>
      </c>
    </row>
    <row r="38" spans="1:23">
      <c r="E38" s="66" t="s">
        <v>233</v>
      </c>
      <c r="F38" s="95">
        <f t="shared" ref="F38:F42" si="3">IF(INDEX(J38:X38,$I$4)="",INDEX(J38:X38,$I$6),INDEX(J38:X38,$I$4))</f>
        <v>0</v>
      </c>
      <c r="G38" s="66" t="s">
        <v>123</v>
      </c>
      <c r="I38" s="98" t="str">
        <f>IF( INDEX(J38:S38, I$5) = "", IF( INDEX(J38:S38, I$4) = F38, "vw", "tu"), IF(INDEX(J38:S38, I$5) = F38, "vw", "tu"))</f>
        <v>vw</v>
      </c>
      <c r="K38" s="16">
        <v>0</v>
      </c>
      <c r="L38" s="16">
        <v>0</v>
      </c>
      <c r="M38" s="16">
        <v>0</v>
      </c>
      <c r="O38" s="16">
        <v>0</v>
      </c>
      <c r="P38" s="16">
        <v>0</v>
      </c>
      <c r="Q38" s="16">
        <v>0</v>
      </c>
      <c r="R38" s="16">
        <v>0</v>
      </c>
      <c r="T38" s="43"/>
      <c r="U38" s="43"/>
      <c r="V38" s="43"/>
      <c r="W38" s="43"/>
    </row>
    <row r="39" spans="1:23">
      <c r="E39" s="66" t="s">
        <v>162</v>
      </c>
      <c r="F39" s="95">
        <f t="shared" si="3"/>
        <v>24</v>
      </c>
      <c r="G39" s="66" t="s">
        <v>71</v>
      </c>
      <c r="I39" s="98" t="str">
        <f>IF( INDEX(J39:S39, I$5) = "", IF( INDEX(J39:S39, I$4) = F39, "vw", "tu"), IF(INDEX(J39:S39, I$5) = F39, "vw", "tu"))</f>
        <v>vw</v>
      </c>
      <c r="K39" s="16">
        <v>24</v>
      </c>
      <c r="L39" s="16"/>
      <c r="M39" s="16"/>
      <c r="O39" s="16"/>
      <c r="P39" s="16"/>
      <c r="Q39" s="16"/>
      <c r="R39" s="16"/>
      <c r="T39" s="43"/>
      <c r="U39" s="43"/>
      <c r="V39" s="43"/>
      <c r="W39" s="43"/>
    </row>
    <row r="40" spans="1:23">
      <c r="E40" s="66" t="s">
        <v>335</v>
      </c>
      <c r="F40" s="95">
        <f t="shared" si="3"/>
        <v>5000</v>
      </c>
      <c r="G40" s="66" t="s">
        <v>123</v>
      </c>
      <c r="I40" s="98" t="str">
        <f>IF( INDEX(J40:S40, I$5) = "", IF( INDEX(J40:S40, I$4) = F40, "vw", "tu"), IF(INDEX(J40:S40, I$5) = F40, "vw", "tu"))</f>
        <v>vw</v>
      </c>
      <c r="K40" s="16">
        <v>5000</v>
      </c>
      <c r="L40" s="16"/>
      <c r="M40" s="16"/>
      <c r="O40" s="16"/>
      <c r="P40" s="16"/>
      <c r="Q40" s="16"/>
      <c r="R40" s="16"/>
      <c r="T40" s="43"/>
      <c r="U40" s="43"/>
      <c r="V40" s="43"/>
      <c r="W40" s="43"/>
    </row>
    <row r="41" spans="1:23">
      <c r="E41" s="66" t="s">
        <v>294</v>
      </c>
      <c r="F41" s="95">
        <f t="shared" si="3"/>
        <v>1000</v>
      </c>
      <c r="G41" s="66" t="s">
        <v>123</v>
      </c>
      <c r="I41" s="98" t="str">
        <f>IF( INDEX(J41:S41, I$5) = "", IF( INDEX(J41:S41, I$4) = F41, "vw", "tu"), IF(INDEX(J41:S41, I$5) = F41, "vw", "tu"))</f>
        <v>vw</v>
      </c>
      <c r="K41" s="16">
        <v>1000</v>
      </c>
      <c r="L41" s="16"/>
      <c r="M41" s="16"/>
      <c r="O41" s="16"/>
      <c r="P41" s="16"/>
      <c r="Q41" s="16"/>
      <c r="R41" s="16"/>
      <c r="T41" s="43"/>
      <c r="U41" s="43"/>
      <c r="V41" s="43"/>
      <c r="W41" s="43"/>
    </row>
    <row r="42" spans="1:23">
      <c r="E42" s="66" t="s">
        <v>163</v>
      </c>
      <c r="F42" s="95">
        <f t="shared" si="3"/>
        <v>1500</v>
      </c>
      <c r="G42" s="66" t="s">
        <v>123</v>
      </c>
      <c r="I42" s="98" t="str">
        <f>IF( INDEX(J42:S42, I$5) = "", IF( INDEX(J42:S42, I$4) = F42, "vw", "tu"), IF(INDEX(J42:S42, I$5) = F42, "vw", "tu"))</f>
        <v>vw</v>
      </c>
      <c r="K42" s="16">
        <v>1500</v>
      </c>
      <c r="L42" s="16"/>
      <c r="M42" s="16"/>
      <c r="O42" s="16"/>
      <c r="P42" s="16"/>
      <c r="Q42" s="16"/>
      <c r="R42" s="16"/>
      <c r="T42" s="43"/>
      <c r="U42" s="43"/>
      <c r="V42" s="43"/>
      <c r="W42" s="43"/>
    </row>
    <row r="44" spans="1:23">
      <c r="A44" s="248" t="s">
        <v>100</v>
      </c>
    </row>
    <row r="45" spans="1:23">
      <c r="E45" s="66" t="s">
        <v>212</v>
      </c>
      <c r="F45" s="95">
        <f t="shared" ref="F45:F53" si="4">IF(INDEX(J45:X45,$I$4)="",INDEX(J45:X45,$I$6),INDEX(J45:X45,$I$4))</f>
        <v>0</v>
      </c>
      <c r="G45" s="66" t="s">
        <v>258</v>
      </c>
      <c r="I45" s="98" t="str">
        <f>IF( INDEX(J45:S45, I$5) = "", IF( INDEX(J45:S45, I$4) = F45, "vw", "tu"), IF(INDEX(J45:S45, I$5) = F45, "vw", "tu"))</f>
        <v>vw</v>
      </c>
      <c r="K45" s="16">
        <v>0</v>
      </c>
      <c r="L45" s="16">
        <v>0</v>
      </c>
      <c r="M45" s="16">
        <v>0</v>
      </c>
      <c r="O45" s="16">
        <v>0</v>
      </c>
      <c r="P45" s="16">
        <v>0</v>
      </c>
      <c r="Q45" s="16">
        <v>0</v>
      </c>
      <c r="R45" s="16">
        <v>0</v>
      </c>
      <c r="T45" s="43"/>
      <c r="U45" s="43"/>
      <c r="V45" s="43"/>
      <c r="W45" s="43"/>
    </row>
    <row r="46" spans="1:23">
      <c r="E46" s="66" t="s">
        <v>4</v>
      </c>
      <c r="F46" s="95">
        <f t="shared" si="4"/>
        <v>0</v>
      </c>
      <c r="G46" s="66" t="s">
        <v>258</v>
      </c>
      <c r="I46" s="98" t="str">
        <f>IF( INDEX(J46:S46, I$5) = "", IF( INDEX(J46:S46, I$4) = F46, "vw", "tu"), IF(INDEX(J46:S46, I$5) = F46, "vw", "tu"))</f>
        <v>vw</v>
      </c>
      <c r="K46" s="16">
        <v>0</v>
      </c>
      <c r="L46" s="16">
        <v>0</v>
      </c>
      <c r="M46" s="16">
        <v>0</v>
      </c>
      <c r="O46" s="16">
        <v>0</v>
      </c>
      <c r="P46" s="16">
        <v>0</v>
      </c>
      <c r="Q46" s="16">
        <v>0</v>
      </c>
      <c r="R46" s="16">
        <v>0</v>
      </c>
      <c r="T46" s="43"/>
      <c r="U46" s="43"/>
      <c r="V46" s="43"/>
      <c r="W46" s="43"/>
    </row>
    <row r="47" spans="1:23">
      <c r="E47" s="66" t="s">
        <v>336</v>
      </c>
      <c r="F47" s="95">
        <f t="shared" si="4"/>
        <v>0</v>
      </c>
      <c r="G47" s="66" t="s">
        <v>258</v>
      </c>
      <c r="I47" s="98" t="str">
        <f>IF( INDEX(J47:S47, I$5) = "", IF( INDEX(J47:S47, I$4) = F47, "vw", "tu"), IF(INDEX(J47:S47, I$5) = F47, "vw", "tu"))</f>
        <v>vw</v>
      </c>
      <c r="K47" s="16">
        <v>0</v>
      </c>
      <c r="L47" s="16">
        <v>0</v>
      </c>
      <c r="M47" s="16">
        <v>0</v>
      </c>
      <c r="O47" s="16">
        <v>0</v>
      </c>
      <c r="P47" s="16">
        <v>0</v>
      </c>
      <c r="Q47" s="16">
        <v>0</v>
      </c>
      <c r="R47" s="16">
        <v>0</v>
      </c>
      <c r="T47" s="43"/>
      <c r="U47" s="43"/>
      <c r="V47" s="43"/>
      <c r="W47" s="43"/>
    </row>
    <row r="48" spans="1:23">
      <c r="E48" s="66" t="s">
        <v>164</v>
      </c>
      <c r="F48" s="95">
        <f t="shared" si="4"/>
        <v>0</v>
      </c>
      <c r="G48" s="66" t="s">
        <v>258</v>
      </c>
      <c r="I48" s="98" t="str">
        <f>IF( INDEX(J48:S48, I$5) = "", IF( INDEX(J48:S48, I$4) = F48, "vw", "tu"), IF(INDEX(J48:S48, I$5) = F48, "vw", "tu"))</f>
        <v>vw</v>
      </c>
      <c r="K48" s="16"/>
      <c r="L48" s="16"/>
      <c r="M48" s="16"/>
      <c r="O48" s="16"/>
      <c r="P48" s="16"/>
      <c r="Q48" s="16"/>
      <c r="R48" s="16"/>
      <c r="T48" s="43"/>
      <c r="U48" s="43"/>
      <c r="V48" s="43"/>
      <c r="W48" s="43"/>
    </row>
    <row r="49" spans="1:23">
      <c r="E49" s="66" t="s">
        <v>187</v>
      </c>
      <c r="F49" s="95">
        <f t="shared" si="4"/>
        <v>0</v>
      </c>
      <c r="G49" s="66" t="s">
        <v>258</v>
      </c>
      <c r="I49" s="98" t="str">
        <f>IF( INDEX(J49:S49, I$5) = "", IF( INDEX(J49:S49, I$4) = F49, "vw", "tu"), IF(INDEX(J49:S49, I$5) = F49, "vw", "tu"))</f>
        <v>vw</v>
      </c>
      <c r="K49" s="16">
        <v>0</v>
      </c>
      <c r="L49" s="16">
        <v>0</v>
      </c>
      <c r="M49" s="16">
        <v>0</v>
      </c>
      <c r="O49" s="16">
        <v>0</v>
      </c>
      <c r="P49" s="16">
        <v>0</v>
      </c>
      <c r="Q49" s="16">
        <v>0</v>
      </c>
      <c r="R49" s="16">
        <v>0</v>
      </c>
      <c r="T49" s="43"/>
      <c r="U49" s="43"/>
      <c r="V49" s="43"/>
      <c r="W49" s="43"/>
    </row>
    <row r="50" spans="1:23">
      <c r="E50" s="66" t="s">
        <v>5</v>
      </c>
      <c r="F50" s="95">
        <f t="shared" si="4"/>
        <v>0</v>
      </c>
      <c r="G50" s="66" t="s">
        <v>258</v>
      </c>
      <c r="I50" s="98" t="str">
        <f>IF( INDEX(J50:S50, I$5) = "", IF( INDEX(J50:S50, I$4) = F50, "vw", "tu"), IF(INDEX(J50:S50, I$5) = F50, "vw", "tu"))</f>
        <v>vw</v>
      </c>
      <c r="K50" s="16">
        <v>0</v>
      </c>
      <c r="L50" s="16">
        <v>0</v>
      </c>
      <c r="M50" s="16">
        <v>0</v>
      </c>
      <c r="O50" s="16">
        <v>0</v>
      </c>
      <c r="P50" s="16">
        <v>0</v>
      </c>
      <c r="Q50" s="16">
        <v>0</v>
      </c>
      <c r="R50" s="16">
        <v>0</v>
      </c>
      <c r="T50" s="43"/>
      <c r="U50" s="43"/>
      <c r="V50" s="43"/>
      <c r="W50" s="43"/>
    </row>
    <row r="51" spans="1:23">
      <c r="E51" s="66" t="s">
        <v>124</v>
      </c>
      <c r="F51" s="95">
        <f t="shared" si="4"/>
        <v>0</v>
      </c>
      <c r="G51" s="66" t="s">
        <v>258</v>
      </c>
      <c r="I51" s="98" t="str">
        <f>IF( INDEX(J51:S51, I$5) = "", IF( INDEX(J51:S51, I$4) = F51, "vw", "tu"), IF(INDEX(J51:S51, I$5) = F51, "vw", "tu"))</f>
        <v>vw</v>
      </c>
      <c r="K51" s="16">
        <v>0</v>
      </c>
      <c r="L51" s="16">
        <v>0</v>
      </c>
      <c r="M51" s="16">
        <v>0</v>
      </c>
      <c r="O51" s="16">
        <v>0</v>
      </c>
      <c r="P51" s="16">
        <v>0</v>
      </c>
      <c r="Q51" s="16">
        <v>0</v>
      </c>
      <c r="R51" s="16">
        <v>0</v>
      </c>
      <c r="T51" s="43"/>
      <c r="U51" s="43"/>
      <c r="V51" s="43"/>
      <c r="W51" s="43"/>
    </row>
    <row r="52" spans="1:23">
      <c r="E52" s="66" t="s">
        <v>234</v>
      </c>
      <c r="F52" s="95">
        <f t="shared" si="4"/>
        <v>0</v>
      </c>
      <c r="G52" s="66" t="s">
        <v>258</v>
      </c>
      <c r="I52" s="98" t="str">
        <f>IF( INDEX(J52:S52, I$5) = "", IF( INDEX(J52:S52, I$4) = F52, "vw", "tu"), IF(INDEX(J52:S52, I$5) = F52, "vw", "tu"))</f>
        <v>vw</v>
      </c>
      <c r="K52" s="16">
        <v>0</v>
      </c>
      <c r="L52" s="16">
        <v>0</v>
      </c>
      <c r="M52" s="16">
        <v>0</v>
      </c>
      <c r="O52" s="16">
        <v>0</v>
      </c>
      <c r="P52" s="16">
        <v>0</v>
      </c>
      <c r="Q52" s="16">
        <v>0</v>
      </c>
      <c r="R52" s="16">
        <v>0</v>
      </c>
      <c r="T52" s="43"/>
      <c r="U52" s="43"/>
      <c r="V52" s="43"/>
      <c r="W52" s="43"/>
    </row>
    <row r="53" spans="1:23">
      <c r="E53" s="66" t="s">
        <v>73</v>
      </c>
      <c r="F53" s="95">
        <f t="shared" si="4"/>
        <v>0</v>
      </c>
      <c r="G53" s="66" t="s">
        <v>258</v>
      </c>
      <c r="I53" s="98" t="str">
        <f>IF( INDEX(J53:S53, I$5) = "", IF( INDEX(J53:S53, I$4) = F53, "vw", "tu"), IF(INDEX(J53:S53, I$5) = F53, "vw", "tu"))</f>
        <v>vw</v>
      </c>
      <c r="K53" s="16">
        <v>0</v>
      </c>
      <c r="L53" s="16">
        <v>0</v>
      </c>
      <c r="M53" s="16">
        <v>0</v>
      </c>
      <c r="O53" s="16">
        <v>0</v>
      </c>
      <c r="P53" s="16">
        <v>0</v>
      </c>
      <c r="Q53" s="16">
        <v>0</v>
      </c>
      <c r="R53" s="16">
        <v>0</v>
      </c>
      <c r="T53" s="43"/>
      <c r="U53" s="43"/>
      <c r="V53" s="43"/>
      <c r="W53" s="43"/>
    </row>
    <row r="55" spans="1:23">
      <c r="A55" s="248" t="s">
        <v>147</v>
      </c>
    </row>
    <row r="56" spans="1:23">
      <c r="E56" s="66" t="s">
        <v>277</v>
      </c>
      <c r="F56" s="95">
        <f t="shared" ref="F56:F57" si="5">IF(INDEX(J56:X56,$I$4)="",INDEX(J56:X56,$I$6),INDEX(J56:X56,$I$4))</f>
        <v>30</v>
      </c>
      <c r="G56" s="66" t="s">
        <v>125</v>
      </c>
      <c r="I56" s="98" t="str">
        <f>IF( INDEX(J56:S56, I$5) = "", IF( INDEX(J56:S56, I$4) = F56, "vw", "tu"), IF(INDEX(J56:S56, I$5) = F56, "vw", "tu"))</f>
        <v>vw</v>
      </c>
      <c r="K56" s="16">
        <v>30</v>
      </c>
      <c r="L56" s="16">
        <v>30</v>
      </c>
      <c r="M56" s="16">
        <v>30</v>
      </c>
      <c r="O56" s="16">
        <v>30</v>
      </c>
      <c r="P56" s="16">
        <v>30</v>
      </c>
      <c r="Q56" s="16">
        <v>30</v>
      </c>
      <c r="R56" s="16">
        <v>30</v>
      </c>
      <c r="T56" s="43"/>
      <c r="U56" s="43"/>
      <c r="V56" s="43"/>
      <c r="W56" s="43"/>
    </row>
    <row r="57" spans="1:23">
      <c r="E57" s="66" t="s">
        <v>295</v>
      </c>
      <c r="F57" s="95">
        <f t="shared" si="5"/>
        <v>360</v>
      </c>
      <c r="G57" s="66" t="s">
        <v>125</v>
      </c>
      <c r="I57" s="98" t="str">
        <f>IF( INDEX(J57:S57, I$5) = "", IF( INDEX(J57:S57, I$4) = F57, "vw", "tu"), IF(INDEX(J57:S57, I$5) = F57, "vw", "tu"))</f>
        <v>vw</v>
      </c>
      <c r="K57" s="16">
        <v>360</v>
      </c>
      <c r="L57" s="16">
        <v>360</v>
      </c>
      <c r="M57" s="16">
        <v>360</v>
      </c>
      <c r="O57" s="16">
        <v>360</v>
      </c>
      <c r="P57" s="16">
        <v>360</v>
      </c>
      <c r="Q57" s="16">
        <v>360</v>
      </c>
      <c r="R57" s="16">
        <v>360</v>
      </c>
      <c r="T57" s="43"/>
      <c r="U57" s="43"/>
      <c r="V57" s="43"/>
      <c r="W57" s="43"/>
    </row>
    <row r="59" spans="1:23">
      <c r="B59" s="150" t="s">
        <v>6</v>
      </c>
    </row>
    <row r="60" spans="1:23">
      <c r="E60" s="100" t="s">
        <v>259</v>
      </c>
      <c r="F60" s="124">
        <f t="shared" ref="F60:F64" si="6">IF(INDEX(J60:X60,$I$4)="",INDEX(J60:X60,$I$6),INDEX(J60:X60,$I$4))</f>
        <v>45078</v>
      </c>
      <c r="G60" s="100" t="s">
        <v>213</v>
      </c>
      <c r="H60" s="126"/>
      <c r="I60" s="98" t="str">
        <f>IF( INDEX(J60:S60, I$5) = "", IF( INDEX(J60:S60, I$4) = F60, "vw", "tu"), IF(INDEX(J60:S60, I$5) = F60, "vw", "tu"))</f>
        <v>vw</v>
      </c>
      <c r="J60" s="101"/>
      <c r="K60" s="61">
        <v>45078</v>
      </c>
      <c r="L60" s="61"/>
      <c r="M60" s="61"/>
      <c r="N60" s="101"/>
      <c r="O60" s="61"/>
      <c r="P60" s="61"/>
      <c r="Q60" s="61"/>
      <c r="R60" s="61"/>
      <c r="T60" s="43"/>
      <c r="U60" s="43"/>
      <c r="V60" s="43"/>
      <c r="W60" s="43"/>
    </row>
    <row r="61" spans="1:23">
      <c r="E61" s="100" t="s">
        <v>48</v>
      </c>
      <c r="F61" s="124">
        <f t="shared" si="6"/>
        <v>45809</v>
      </c>
      <c r="G61" s="100" t="s">
        <v>213</v>
      </c>
      <c r="H61" s="126"/>
      <c r="I61" s="98" t="str">
        <f>IF( INDEX(J61:S61, I$5) = "", IF( INDEX(J61:S61, I$4) = F61, "vw", "tu"), IF(INDEX(J61:S61, I$5) = F61, "vw", "tu"))</f>
        <v>vw</v>
      </c>
      <c r="J61" s="101"/>
      <c r="K61" s="61">
        <v>45809</v>
      </c>
      <c r="L61" s="61"/>
      <c r="M61" s="61"/>
      <c r="N61" s="101"/>
      <c r="O61" s="61"/>
      <c r="P61" s="61"/>
      <c r="Q61" s="61"/>
      <c r="R61" s="61"/>
      <c r="T61" s="43"/>
      <c r="U61" s="43"/>
      <c r="V61" s="43"/>
      <c r="W61" s="43"/>
    </row>
    <row r="62" spans="1:23">
      <c r="E62" s="78" t="s">
        <v>316</v>
      </c>
      <c r="F62" s="99">
        <f t="shared" si="6"/>
        <v>0.9</v>
      </c>
      <c r="G62" s="78" t="s">
        <v>208</v>
      </c>
      <c r="H62" s="103"/>
      <c r="I62" s="98" t="str">
        <f>IF( INDEX(J62:S62, I$5) = "", IF( INDEX(J62:S62, I$4) = F62, "vw", "tu"), IF(INDEX(J62:S62, I$5) = F62, "vw", "tu"))</f>
        <v>vw</v>
      </c>
      <c r="J62" s="79"/>
      <c r="K62" s="31">
        <v>0.9</v>
      </c>
      <c r="L62" s="31">
        <v>0.9</v>
      </c>
      <c r="M62" s="31">
        <v>0.9</v>
      </c>
      <c r="N62" s="79"/>
      <c r="O62" s="31">
        <v>0.9</v>
      </c>
      <c r="P62" s="31">
        <v>0.9</v>
      </c>
      <c r="Q62" s="31">
        <v>0.9</v>
      </c>
      <c r="R62" s="31">
        <v>0.9</v>
      </c>
      <c r="T62" s="43"/>
      <c r="U62" s="43"/>
      <c r="V62" s="43"/>
      <c r="W62" s="43"/>
    </row>
    <row r="63" spans="1:23">
      <c r="E63" s="78" t="s">
        <v>27</v>
      </c>
      <c r="F63" s="99">
        <f t="shared" si="6"/>
        <v>0.1</v>
      </c>
      <c r="G63" s="78" t="s">
        <v>208</v>
      </c>
      <c r="H63" s="103"/>
      <c r="I63" s="98" t="str">
        <f>IF( INDEX(J63:S63, I$5) = "", IF( INDEX(J63:S63, I$4) = F63, "vw", "tu"), IF(INDEX(J63:S63, I$5) = F63, "vw", "tu"))</f>
        <v>vw</v>
      </c>
      <c r="J63" s="79"/>
      <c r="K63" s="31">
        <v>0.1</v>
      </c>
      <c r="L63" s="31">
        <v>0.1</v>
      </c>
      <c r="M63" s="31">
        <v>0.1</v>
      </c>
      <c r="N63" s="79"/>
      <c r="O63" s="31">
        <v>0.1</v>
      </c>
      <c r="P63" s="31">
        <v>0.1</v>
      </c>
      <c r="Q63" s="31">
        <v>0.1</v>
      </c>
      <c r="R63" s="31">
        <v>0.1</v>
      </c>
      <c r="T63" s="43"/>
      <c r="U63" s="43"/>
      <c r="V63" s="43"/>
      <c r="W63" s="43"/>
    </row>
    <row r="64" spans="1:23">
      <c r="E64" s="66" t="s">
        <v>214</v>
      </c>
      <c r="F64" s="95">
        <f t="shared" si="6"/>
        <v>0</v>
      </c>
      <c r="G64" s="66" t="s">
        <v>258</v>
      </c>
      <c r="I64" s="98" t="str">
        <f>IF( INDEX(J64:S64, I$5) = "", IF( INDEX(J64:S64, I$4) = F64, "vw", "tu"), IF(INDEX(J64:S64, I$5) = F64, "vw", "tu"))</f>
        <v>vw</v>
      </c>
      <c r="K64" s="16"/>
      <c r="L64" s="16"/>
      <c r="M64" s="16"/>
      <c r="O64" s="16"/>
      <c r="P64" s="16"/>
      <c r="Q64" s="16"/>
      <c r="R64" s="16"/>
      <c r="T64" s="43"/>
      <c r="U64" s="43"/>
      <c r="V64" s="43"/>
      <c r="W64" s="43"/>
    </row>
    <row r="66" spans="2:23">
      <c r="B66" s="150" t="s">
        <v>165</v>
      </c>
    </row>
    <row r="67" spans="2:23">
      <c r="E67" s="100" t="s">
        <v>74</v>
      </c>
      <c r="F67" s="124">
        <f t="shared" ref="F67:F71" si="7">IF(INDEX(J67:X67,$I$4)="",INDEX(J67:X67,$I$6),INDEX(J67:X67,$I$4))</f>
        <v>45809</v>
      </c>
      <c r="G67" s="100" t="s">
        <v>213</v>
      </c>
      <c r="H67" s="126"/>
      <c r="I67" s="98" t="str">
        <f>IF( INDEX(J67:S67, I$5) = "", IF( INDEX(J67:S67, I$4) = F67, "vw", "tu"), IF(INDEX(J67:S67, I$5) = F67, "vw", "tu"))</f>
        <v>vw</v>
      </c>
      <c r="J67" s="101"/>
      <c r="K67" s="61">
        <v>45809</v>
      </c>
      <c r="L67" s="61"/>
      <c r="M67" s="61"/>
      <c r="N67" s="101"/>
      <c r="O67" s="61"/>
      <c r="P67" s="61"/>
      <c r="Q67" s="61"/>
      <c r="R67" s="61"/>
      <c r="T67" s="43"/>
      <c r="U67" s="43"/>
      <c r="V67" s="43"/>
      <c r="W67" s="43"/>
    </row>
    <row r="68" spans="2:23">
      <c r="E68" s="100" t="s">
        <v>278</v>
      </c>
      <c r="F68" s="124">
        <f t="shared" si="7"/>
        <v>45078</v>
      </c>
      <c r="G68" s="100" t="s">
        <v>213</v>
      </c>
      <c r="H68" s="126"/>
      <c r="I68" s="98" t="str">
        <f>IF( INDEX(J68:S68, I$5) = "", IF( INDEX(J68:S68, I$4) = F68, "vw", "tu"), IF(INDEX(J68:S68, I$5) = F68, "vw", "tu"))</f>
        <v>vw</v>
      </c>
      <c r="J68" s="101"/>
      <c r="K68" s="61">
        <v>45078</v>
      </c>
      <c r="L68" s="61"/>
      <c r="M68" s="61"/>
      <c r="N68" s="101"/>
      <c r="O68" s="61"/>
      <c r="P68" s="61"/>
      <c r="Q68" s="61"/>
      <c r="R68" s="61"/>
      <c r="T68" s="43"/>
      <c r="U68" s="43"/>
      <c r="V68" s="43"/>
      <c r="W68" s="43"/>
    </row>
    <row r="69" spans="2:23">
      <c r="E69" s="66" t="s">
        <v>126</v>
      </c>
      <c r="F69" s="95">
        <f t="shared" si="7"/>
        <v>0</v>
      </c>
      <c r="G69" s="66" t="s">
        <v>258</v>
      </c>
      <c r="I69" s="98" t="str">
        <f>IF( INDEX(J69:S69, I$5) = "", IF( INDEX(J69:S69, I$4) = F69, "vw", "tu"), IF(INDEX(J69:S69, I$5) = F69, "vw", "tu"))</f>
        <v>vw</v>
      </c>
      <c r="K69" s="16">
        <v>0</v>
      </c>
      <c r="L69" s="16">
        <v>0</v>
      </c>
      <c r="M69" s="16">
        <v>0</v>
      </c>
      <c r="O69" s="16">
        <v>0</v>
      </c>
      <c r="P69" s="16">
        <v>0</v>
      </c>
      <c r="Q69" s="16">
        <v>0</v>
      </c>
      <c r="R69" s="16">
        <v>0</v>
      </c>
      <c r="T69" s="43"/>
      <c r="U69" s="43"/>
      <c r="V69" s="43"/>
      <c r="W69" s="43"/>
    </row>
    <row r="70" spans="2:23">
      <c r="E70" s="78" t="s">
        <v>188</v>
      </c>
      <c r="F70" s="99">
        <f t="shared" si="7"/>
        <v>0.08</v>
      </c>
      <c r="G70" s="78" t="s">
        <v>208</v>
      </c>
      <c r="H70" s="103"/>
      <c r="I70" s="98" t="str">
        <f>IF( INDEX(J70:S70, I$5) = "", IF( INDEX(J70:S70, I$4) = F70, "vw", "tu"), IF(INDEX(J70:S70, I$5) = F70, "vw", "tu"))</f>
        <v>vw</v>
      </c>
      <c r="J70" s="79"/>
      <c r="K70" s="31">
        <v>0.08</v>
      </c>
      <c r="L70" s="31">
        <v>0.08</v>
      </c>
      <c r="M70" s="31">
        <v>0.08</v>
      </c>
      <c r="N70" s="79"/>
      <c r="O70" s="31">
        <v>0.08</v>
      </c>
      <c r="P70" s="31">
        <v>0.08</v>
      </c>
      <c r="Q70" s="31">
        <v>0.08</v>
      </c>
      <c r="R70" s="31">
        <v>0.08</v>
      </c>
      <c r="T70" s="43"/>
      <c r="U70" s="43"/>
      <c r="V70" s="43"/>
      <c r="W70" s="43"/>
    </row>
    <row r="71" spans="2:23">
      <c r="E71" s="78" t="s">
        <v>296</v>
      </c>
      <c r="F71" s="99">
        <f t="shared" si="7"/>
        <v>0.8</v>
      </c>
      <c r="G71" s="78" t="s">
        <v>208</v>
      </c>
      <c r="H71" s="103"/>
      <c r="I71" s="98" t="str">
        <f>IF( INDEX(J71:S71, I$5) = "", IF( INDEX(J71:S71, I$4) = F71, "vw", "tu"), IF(INDEX(J71:S71, I$5) = F71, "vw", "tu"))</f>
        <v>vw</v>
      </c>
      <c r="J71" s="79"/>
      <c r="K71" s="31">
        <v>0.8</v>
      </c>
      <c r="L71" s="31">
        <v>0.8</v>
      </c>
      <c r="M71" s="31">
        <v>0.8</v>
      </c>
      <c r="N71" s="79"/>
      <c r="O71" s="31">
        <v>0.8</v>
      </c>
      <c r="P71" s="31">
        <v>0.8</v>
      </c>
      <c r="Q71" s="31">
        <v>0.8</v>
      </c>
      <c r="R71" s="31">
        <v>0.8</v>
      </c>
      <c r="T71" s="43"/>
      <c r="U71" s="43"/>
      <c r="V71" s="43"/>
      <c r="W71" s="43"/>
    </row>
    <row r="73" spans="2:23">
      <c r="B73" s="150" t="s">
        <v>49</v>
      </c>
    </row>
    <row r="74" spans="2:23">
      <c r="E74" s="100" t="s">
        <v>297</v>
      </c>
      <c r="F74" s="124">
        <f t="shared" ref="F74:F79" si="8">IF(INDEX(J74:X74,$I$4)="",INDEX(J74:X74,$I$6),INDEX(J74:X74,$I$4))</f>
        <v>45777</v>
      </c>
      <c r="G74" s="100" t="s">
        <v>213</v>
      </c>
      <c r="H74" s="126"/>
      <c r="I74" s="98" t="str">
        <f>IF( INDEX(J74:S74, I$5) = "", IF( INDEX(J74:S74, I$4) = F74, "vw", "tu"), IF(INDEX(J74:S74, I$5) = F74, "vw", "tu"))</f>
        <v>vw</v>
      </c>
      <c r="J74" s="101"/>
      <c r="K74" s="61">
        <v>45777</v>
      </c>
      <c r="L74" s="61"/>
      <c r="M74" s="61"/>
      <c r="N74" s="101"/>
      <c r="O74" s="61"/>
      <c r="P74" s="61"/>
      <c r="Q74" s="61"/>
      <c r="R74" s="61"/>
      <c r="T74" s="43"/>
      <c r="U74" s="43"/>
      <c r="V74" s="43"/>
      <c r="W74" s="43"/>
    </row>
    <row r="75" spans="2:23">
      <c r="E75" s="100" t="s">
        <v>279</v>
      </c>
      <c r="F75" s="124">
        <f t="shared" si="8"/>
        <v>45047</v>
      </c>
      <c r="G75" s="100" t="s">
        <v>213</v>
      </c>
      <c r="H75" s="126"/>
      <c r="I75" s="98" t="str">
        <f>IF( INDEX(J75:S75, I$5) = "", IF( INDEX(J75:S75, I$4) = F75, "vw", "tu"), IF(INDEX(J75:S75, I$5) = F75, "vw", "tu"))</f>
        <v>vw</v>
      </c>
      <c r="J75" s="101"/>
      <c r="K75" s="61">
        <v>45047</v>
      </c>
      <c r="L75" s="61"/>
      <c r="M75" s="61"/>
      <c r="N75" s="101"/>
      <c r="O75" s="61"/>
      <c r="P75" s="61"/>
      <c r="Q75" s="61"/>
      <c r="R75" s="61"/>
      <c r="T75" s="43"/>
      <c r="U75" s="43"/>
      <c r="V75" s="43"/>
      <c r="W75" s="43"/>
    </row>
    <row r="76" spans="2:23">
      <c r="E76" s="78" t="s">
        <v>50</v>
      </c>
      <c r="F76" s="99">
        <f t="shared" si="8"/>
        <v>0.08</v>
      </c>
      <c r="G76" s="78" t="s">
        <v>208</v>
      </c>
      <c r="H76" s="103"/>
      <c r="I76" s="98" t="str">
        <f>IF( INDEX(J76:S76, I$5) = "", IF( INDEX(J76:S76, I$4) = F76, "vw", "tu"), IF(INDEX(J76:S76, I$5) = F76, "vw", "tu"))</f>
        <v>vw</v>
      </c>
      <c r="J76" s="79"/>
      <c r="K76" s="31">
        <v>0.08</v>
      </c>
      <c r="L76" s="31"/>
      <c r="M76" s="31"/>
      <c r="N76" s="79"/>
      <c r="O76" s="31"/>
      <c r="P76" s="31"/>
      <c r="Q76" s="31"/>
      <c r="R76" s="31"/>
      <c r="T76" s="43"/>
      <c r="U76" s="43"/>
      <c r="V76" s="43"/>
      <c r="W76" s="43"/>
    </row>
    <row r="77" spans="2:23">
      <c r="E77" s="66" t="s">
        <v>101</v>
      </c>
      <c r="F77" s="95">
        <f t="shared" si="8"/>
        <v>24</v>
      </c>
      <c r="G77" s="66" t="s">
        <v>71</v>
      </c>
      <c r="I77" s="98" t="str">
        <f>IF( INDEX(J77:S77, I$5) = "", IF( INDEX(J77:S77, I$4) = F77, "vw", "tu"), IF(INDEX(J77:S77, I$5) = F77, "vw", "tu"))</f>
        <v>vw</v>
      </c>
      <c r="K77" s="16">
        <v>24</v>
      </c>
      <c r="L77" s="16"/>
      <c r="M77" s="16"/>
      <c r="O77" s="16"/>
      <c r="P77" s="16"/>
      <c r="Q77" s="16"/>
      <c r="R77" s="16"/>
      <c r="T77" s="43"/>
      <c r="U77" s="43"/>
      <c r="V77" s="43"/>
      <c r="W77" s="43"/>
    </row>
    <row r="78" spans="2:23">
      <c r="E78" s="78" t="s">
        <v>51</v>
      </c>
      <c r="F78" s="99">
        <f t="shared" si="8"/>
        <v>1</v>
      </c>
      <c r="G78" s="78" t="s">
        <v>208</v>
      </c>
      <c r="H78" s="103"/>
      <c r="I78" s="98" t="str">
        <f>IF( INDEX(J78:S78, I$5) = "", IF( INDEX(J78:S78, I$4) = F78, "vw", "tu"), IF(INDEX(J78:S78, I$5) = F78, "vw", "tu"))</f>
        <v>vw</v>
      </c>
      <c r="J78" s="79"/>
      <c r="K78" s="31">
        <v>1</v>
      </c>
      <c r="L78" s="31"/>
      <c r="M78" s="31"/>
      <c r="N78" s="79"/>
      <c r="O78" s="31"/>
      <c r="P78" s="31"/>
      <c r="Q78" s="31"/>
      <c r="R78" s="31"/>
      <c r="T78" s="43"/>
      <c r="U78" s="43"/>
      <c r="V78" s="43"/>
      <c r="W78" s="43"/>
    </row>
    <row r="79" spans="2:23">
      <c r="E79" s="66" t="s">
        <v>189</v>
      </c>
      <c r="F79" s="95">
        <f t="shared" si="8"/>
        <v>0</v>
      </c>
      <c r="G79" s="66" t="s">
        <v>258</v>
      </c>
      <c r="I79" s="98" t="str">
        <f>IF( INDEX(J79:S79, I$5) = "", IF( INDEX(J79:S79, I$4) = F79, "vw", "tu"), IF(INDEX(J79:S79, I$5) = F79, "vw", "tu"))</f>
        <v>vw</v>
      </c>
      <c r="K79" s="16">
        <v>0</v>
      </c>
      <c r="L79" s="16"/>
      <c r="M79" s="16"/>
      <c r="O79" s="16"/>
      <c r="P79" s="16"/>
      <c r="Q79" s="16"/>
      <c r="R79" s="16"/>
      <c r="T79" s="43"/>
      <c r="U79" s="43"/>
      <c r="V79" s="43"/>
      <c r="W79" s="43"/>
    </row>
    <row r="81" spans="1:23">
      <c r="A81" s="248" t="s">
        <v>190</v>
      </c>
    </row>
    <row r="82" spans="1:23">
      <c r="E82" s="66" t="s">
        <v>235</v>
      </c>
      <c r="F82" s="95">
        <f t="shared" ref="F82:F86" si="9">IF(INDEX(J82:X82,$I$4)="",INDEX(J82:X82,$I$6),INDEX(J82:X82,$I$4))</f>
        <v>3</v>
      </c>
      <c r="G82" s="66" t="s">
        <v>71</v>
      </c>
      <c r="I82" s="98" t="str">
        <f>IF( INDEX(J82:S82, I$5) = "", IF( INDEX(J82:S82, I$4) = F82, "vw", "tu"), IF(INDEX(J82:S82, I$5) = F82, "vw", "tu"))</f>
        <v>vw</v>
      </c>
      <c r="K82" s="16">
        <v>3</v>
      </c>
      <c r="L82" s="16">
        <v>3</v>
      </c>
      <c r="M82" s="16">
        <v>3</v>
      </c>
      <c r="O82" s="16">
        <v>3</v>
      </c>
      <c r="P82" s="16">
        <v>3</v>
      </c>
      <c r="Q82" s="16">
        <v>3</v>
      </c>
      <c r="R82" s="16">
        <v>3</v>
      </c>
      <c r="T82" s="43"/>
      <c r="U82" s="43"/>
      <c r="V82" s="43"/>
      <c r="W82" s="43"/>
    </row>
    <row r="83" spans="1:23">
      <c r="E83" s="100" t="s">
        <v>28</v>
      </c>
      <c r="F83" s="124">
        <f t="shared" si="9"/>
        <v>45078</v>
      </c>
      <c r="G83" s="100" t="s">
        <v>213</v>
      </c>
      <c r="H83" s="126"/>
      <c r="I83" s="98" t="str">
        <f>IF( INDEX(J83:S83, I$5) = "", IF( INDEX(J83:S83, I$4) = F83, "vw", "tu"), IF(INDEX(J83:S83, I$5) = F83, "vw", "tu"))</f>
        <v>vw</v>
      </c>
      <c r="J83" s="101"/>
      <c r="K83" s="61">
        <v>45078</v>
      </c>
      <c r="L83" s="61"/>
      <c r="M83" s="61"/>
      <c r="N83" s="101"/>
      <c r="O83" s="61"/>
      <c r="P83" s="61"/>
      <c r="Q83" s="61"/>
      <c r="R83" s="61"/>
      <c r="T83" s="43"/>
      <c r="U83" s="43"/>
      <c r="V83" s="43"/>
      <c r="W83" s="43"/>
    </row>
    <row r="84" spans="1:23">
      <c r="E84" s="78" t="s">
        <v>127</v>
      </c>
      <c r="F84" s="99">
        <f t="shared" si="9"/>
        <v>0.5</v>
      </c>
      <c r="G84" s="78" t="s">
        <v>208</v>
      </c>
      <c r="H84" s="103"/>
      <c r="I84" s="98" t="str">
        <f>IF( INDEX(J84:S84, I$5) = "", IF( INDEX(J84:S84, I$4) = F84, "vw", "tu"), IF(INDEX(J84:S84, I$5) = F84, "vw", "tu"))</f>
        <v>vw</v>
      </c>
      <c r="J84" s="79"/>
      <c r="K84" s="31">
        <v>0.5</v>
      </c>
      <c r="L84" s="31">
        <v>0.5</v>
      </c>
      <c r="M84" s="31">
        <v>0.5</v>
      </c>
      <c r="N84" s="79"/>
      <c r="O84" s="31">
        <v>0.5</v>
      </c>
      <c r="P84" s="31">
        <v>0.5</v>
      </c>
      <c r="Q84" s="31">
        <v>0.5</v>
      </c>
      <c r="R84" s="31">
        <v>0.5</v>
      </c>
      <c r="T84" s="43"/>
      <c r="U84" s="43"/>
      <c r="V84" s="43"/>
      <c r="W84" s="43"/>
    </row>
    <row r="85" spans="1:23">
      <c r="E85" s="78" t="s">
        <v>75</v>
      </c>
      <c r="F85" s="99">
        <f t="shared" si="9"/>
        <v>0.2</v>
      </c>
      <c r="G85" s="78" t="s">
        <v>208</v>
      </c>
      <c r="H85" s="103"/>
      <c r="I85" s="98" t="str">
        <f>IF( INDEX(J85:S85, I$5) = "", IF( INDEX(J85:S85, I$4) = F85, "vw", "tu"), IF(INDEX(J85:S85, I$5) = F85, "vw", "tu"))</f>
        <v>vw</v>
      </c>
      <c r="J85" s="79"/>
      <c r="K85" s="31">
        <v>0.2</v>
      </c>
      <c r="L85" s="31">
        <v>0.2</v>
      </c>
      <c r="M85" s="31">
        <v>0.2</v>
      </c>
      <c r="N85" s="79"/>
      <c r="O85" s="31">
        <v>0.2</v>
      </c>
      <c r="P85" s="31">
        <v>0.2</v>
      </c>
      <c r="Q85" s="31">
        <v>0.2</v>
      </c>
      <c r="R85" s="31">
        <v>0.2</v>
      </c>
      <c r="T85" s="43"/>
      <c r="U85" s="43"/>
      <c r="V85" s="43"/>
      <c r="W85" s="43"/>
    </row>
    <row r="86" spans="1:23">
      <c r="E86" s="66" t="s">
        <v>215</v>
      </c>
      <c r="F86" s="95">
        <f t="shared" si="9"/>
        <v>1</v>
      </c>
      <c r="G86" s="66" t="s">
        <v>71</v>
      </c>
      <c r="I86" s="98" t="str">
        <f>IF( INDEX(J86:S86, I$5) = "", IF( INDEX(J86:S86, I$4) = F86, "vw", "tu"), IF(INDEX(J86:S86, I$5) = F86, "vw", "tu"))</f>
        <v>vw</v>
      </c>
      <c r="K86" s="16">
        <v>1</v>
      </c>
      <c r="L86" s="16">
        <v>1</v>
      </c>
      <c r="M86" s="16">
        <v>1</v>
      </c>
      <c r="O86" s="16">
        <v>1</v>
      </c>
      <c r="P86" s="16">
        <v>1</v>
      </c>
      <c r="Q86" s="16">
        <v>1</v>
      </c>
      <c r="R86" s="16">
        <v>1</v>
      </c>
      <c r="T86" s="43"/>
      <c r="U86" s="43"/>
      <c r="V86" s="43"/>
      <c r="W86" s="43"/>
    </row>
    <row r="88" spans="1:23">
      <c r="A88" s="248" t="s">
        <v>260</v>
      </c>
    </row>
    <row r="89" spans="1:23">
      <c r="E89" s="78" t="s">
        <v>337</v>
      </c>
      <c r="F89" s="99">
        <f t="shared" ref="F89:F92" si="10">IF(INDEX(J89:X89,$I$4)="",INDEX(J89:X89,$I$6),INDEX(J89:X89,$I$4))</f>
        <v>0.2</v>
      </c>
      <c r="G89" s="78" t="s">
        <v>208</v>
      </c>
      <c r="H89" s="103"/>
      <c r="I89" s="98" t="str">
        <f>IF( INDEX(J89:S89, I$5) = "", IF( INDEX(J89:S89, I$4) = F89, "vw", "tu"), IF(INDEX(J89:S89, I$5) = F89, "vw", "tu"))</f>
        <v>vw</v>
      </c>
      <c r="J89" s="79"/>
      <c r="K89" s="31">
        <v>0.2</v>
      </c>
      <c r="L89" s="31"/>
      <c r="M89" s="31"/>
      <c r="N89" s="79"/>
      <c r="O89" s="31"/>
      <c r="P89" s="31"/>
      <c r="Q89" s="31"/>
      <c r="R89" s="31"/>
      <c r="T89" s="43"/>
      <c r="U89" s="43"/>
      <c r="V89" s="43"/>
      <c r="W89" s="43"/>
    </row>
    <row r="90" spans="1:23">
      <c r="E90" s="66" t="s">
        <v>236</v>
      </c>
      <c r="F90" s="95">
        <f t="shared" si="10"/>
        <v>0</v>
      </c>
      <c r="G90" s="66" t="s">
        <v>258</v>
      </c>
      <c r="I90" s="98" t="str">
        <f>IF( INDEX(J90:S90, I$5) = "", IF( INDEX(J90:S90, I$4) = F90, "vw", "tu"), IF(INDEX(J90:S90, I$5) = F90, "vw", "tu"))</f>
        <v>vw</v>
      </c>
      <c r="K90" s="16">
        <v>0</v>
      </c>
      <c r="L90" s="16"/>
      <c r="M90" s="16"/>
      <c r="O90" s="16"/>
      <c r="P90" s="16"/>
      <c r="Q90" s="16"/>
      <c r="R90" s="16"/>
      <c r="T90" s="43"/>
      <c r="U90" s="43"/>
      <c r="V90" s="43"/>
      <c r="W90" s="43"/>
    </row>
    <row r="91" spans="1:23">
      <c r="E91" s="66" t="s">
        <v>338</v>
      </c>
      <c r="F91" s="95">
        <f t="shared" si="10"/>
        <v>8</v>
      </c>
      <c r="G91" s="66"/>
      <c r="I91" s="98" t="str">
        <f>IF( INDEX(J91:S91, I$5) = "", IF( INDEX(J91:S91, I$4) = F91, "vw", "tu"), IF(INDEX(J91:S91, I$5) = F91, "vw", "tu"))</f>
        <v>vw</v>
      </c>
      <c r="K91" s="16">
        <v>8</v>
      </c>
      <c r="L91" s="16">
        <v>12</v>
      </c>
      <c r="M91" s="16">
        <v>12</v>
      </c>
      <c r="O91" s="16">
        <v>12</v>
      </c>
      <c r="P91" s="16">
        <v>12</v>
      </c>
      <c r="Q91" s="16">
        <v>12</v>
      </c>
      <c r="R91" s="16">
        <v>12</v>
      </c>
      <c r="T91" s="43"/>
      <c r="U91" s="43"/>
      <c r="V91" s="43"/>
      <c r="W91" s="43"/>
    </row>
    <row r="92" spans="1:23">
      <c r="E92" s="66" t="s">
        <v>280</v>
      </c>
      <c r="F92" s="95">
        <f t="shared" si="10"/>
        <v>0</v>
      </c>
      <c r="G92" s="66" t="s">
        <v>258</v>
      </c>
      <c r="I92" s="98" t="str">
        <f>IF( INDEX(J92:S92, I$5) = "", IF( INDEX(J92:S92, I$4) = F92, "vw", "tu"), IF(INDEX(J92:S92, I$5) = F92, "vw", "tu"))</f>
        <v>vw</v>
      </c>
      <c r="K92" s="16">
        <v>0</v>
      </c>
      <c r="L92" s="16">
        <v>0</v>
      </c>
      <c r="M92" s="16">
        <v>0</v>
      </c>
      <c r="O92" s="16">
        <v>0</v>
      </c>
      <c r="P92" s="16">
        <v>0</v>
      </c>
      <c r="Q92" s="16">
        <v>0</v>
      </c>
      <c r="R92" s="16">
        <v>0</v>
      </c>
      <c r="T92" s="43"/>
      <c r="U92" s="43"/>
      <c r="V92" s="43"/>
      <c r="W92" s="43"/>
    </row>
    <row r="94" spans="1:23">
      <c r="A94" s="248" t="s">
        <v>339</v>
      </c>
    </row>
    <row r="95" spans="1:23">
      <c r="E95" s="100" t="s">
        <v>340</v>
      </c>
      <c r="F95" s="124">
        <f>IF(INDEX(J95:X95,$I$4)="",INDEX(J95:X95,$I$6),INDEX(J95:X95,$I$4))</f>
        <v>45413</v>
      </c>
      <c r="G95" s="100" t="s">
        <v>213</v>
      </c>
      <c r="H95" s="126"/>
      <c r="I95" s="98" t="str">
        <f>IF( INDEX(J95:S95, I$5) = "", IF( INDEX(J95:S95, I$4) = F95, "vw", "tu"), IF(INDEX(J95:S95, I$5) = F95, "vw", "tu"))</f>
        <v>vw</v>
      </c>
      <c r="J95" s="101"/>
      <c r="K95" s="61">
        <v>45413</v>
      </c>
      <c r="L95" s="61"/>
      <c r="M95" s="61"/>
      <c r="N95" s="101"/>
      <c r="O95" s="61"/>
      <c r="P95" s="61"/>
      <c r="Q95" s="61"/>
      <c r="R95" s="61"/>
      <c r="T95" s="43"/>
      <c r="U95" s="43"/>
      <c r="V95" s="43"/>
      <c r="W95" s="43"/>
    </row>
    <row r="97" spans="1:7" outlineLevel="1">
      <c r="A97" s="248" t="s">
        <v>29</v>
      </c>
    </row>
    <row r="98" spans="1:7" outlineLevel="1">
      <c r="E98" s="66" t="s">
        <v>76</v>
      </c>
      <c r="F98" s="16">
        <v>12</v>
      </c>
      <c r="G98" s="66"/>
    </row>
    <row r="99" spans="1:7" outlineLevel="1">
      <c r="E99" s="66" t="s">
        <v>191</v>
      </c>
      <c r="F99" s="16">
        <v>1</v>
      </c>
      <c r="G99" s="66" t="s">
        <v>71</v>
      </c>
    </row>
    <row r="100" spans="1:7" outlineLevel="1">
      <c r="E100" s="66" t="s">
        <v>148</v>
      </c>
      <c r="F100" s="16">
        <v>4</v>
      </c>
      <c r="G100" s="66" t="s">
        <v>71</v>
      </c>
    </row>
    <row r="101" spans="1:7" outlineLevel="1">
      <c r="E101" s="100" t="s">
        <v>317</v>
      </c>
      <c r="F101" s="61">
        <v>45047</v>
      </c>
      <c r="G101" s="66" t="s">
        <v>213</v>
      </c>
    </row>
    <row r="102" spans="1:7" outlineLevel="1"/>
    <row r="103" spans="1:7" outlineLevel="1"/>
  </sheetData>
  <conditionalFormatting sqref="I9:I22 I25:I28 I31:I35 I38:I42 I45:I53 I56:I57 I60:I64 I67:I71 I74:I79 I82:I86 I89:I92 I95">
    <cfRule type="cellIs" dxfId="354" priority="4" operator="equal">
      <formula>"tu"</formula>
    </cfRule>
  </conditionalFormatting>
  <conditionalFormatting sqref="O13:R13 T14:W22 T25:W28 T31:W35 T38:W42 T45:W53 T56:W57 T60:W64 T67:W71 T74:W79 T82:W86 T89:W92 T95:W95">
    <cfRule type="cellIs" dxfId="353"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99"/>
    <outlinePr summaryBelow="0" summaryRight="0"/>
  </sheetPr>
  <dimension ref="A1:BQ2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190" customWidth="1"/>
    <col min="5" max="5" width="29" style="47" bestFit="1" customWidth="1"/>
    <col min="6" max="6" width="20.5546875" style="47" bestFit="1" customWidth="1"/>
    <col min="7" max="7" width="13.21875" style="47" bestFit="1" customWidth="1"/>
    <col min="8" max="8" width="8.777343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RIGHT(CELL("filename", A1), LEN(CELL("filename", A1)) - SEARCH("]", CELL("filename", A1)))</f>
        <v>InpS</v>
      </c>
      <c r="B1" s="86"/>
      <c r="C1" s="85"/>
      <c r="D1" s="171"/>
      <c r="F1" s="53" t="str">
        <f>HYPERLINK("#Contents!A1","Go to contents")</f>
        <v>Go to contents</v>
      </c>
      <c r="H1" s="58"/>
      <c r="J1" s="58"/>
    </row>
    <row r="2" spans="1:69" s="55" customFormat="1">
      <c r="A2" s="60"/>
      <c r="B2" s="60"/>
      <c r="C2" s="83"/>
      <c r="D2" s="169"/>
      <c r="E2" s="170" t="s">
        <v>331</v>
      </c>
      <c r="F2" s="52">
        <f ca="1">'Model Checks and Alerts'!F11</f>
        <v>0</v>
      </c>
      <c r="G2" s="54" t="s">
        <v>144</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5" customFormat="1">
      <c r="A3" s="60"/>
      <c r="B3" s="60"/>
      <c r="C3" s="83"/>
      <c r="D3" s="169"/>
      <c r="E3" s="15" t="s">
        <v>206</v>
      </c>
      <c r="F3" s="52"/>
      <c r="G3" s="54" t="s">
        <v>98</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5" customFormat="1">
      <c r="A4" s="60"/>
      <c r="B4" s="60"/>
      <c r="C4" s="83"/>
      <c r="D4" s="169"/>
      <c r="E4" s="26" t="s">
        <v>332</v>
      </c>
      <c r="F4" s="47"/>
      <c r="G4" s="47"/>
      <c r="H4" s="22"/>
      <c r="I4" s="22"/>
      <c r="J4" s="26">
        <f>Time!J$28</f>
        <v>1</v>
      </c>
      <c r="K4" s="26">
        <f>Time!K$28</f>
        <v>2</v>
      </c>
      <c r="L4" s="26">
        <f>Time!L$28</f>
        <v>3</v>
      </c>
      <c r="M4" s="26">
        <f>Time!M$28</f>
        <v>4</v>
      </c>
      <c r="N4" s="26">
        <f>Time!N$28</f>
        <v>5</v>
      </c>
      <c r="O4" s="26">
        <f>Time!O$28</f>
        <v>6</v>
      </c>
      <c r="P4" s="26">
        <f>Time!P$28</f>
        <v>7</v>
      </c>
      <c r="Q4" s="26">
        <f>Time!Q$28</f>
        <v>8</v>
      </c>
      <c r="R4" s="26">
        <f>Time!R$28</f>
        <v>9</v>
      </c>
      <c r="S4" s="26">
        <f>Time!S$28</f>
        <v>10</v>
      </c>
      <c r="T4" s="26">
        <f>Time!T$28</f>
        <v>11</v>
      </c>
      <c r="U4" s="26">
        <f>Time!U$28</f>
        <v>12</v>
      </c>
      <c r="V4" s="26">
        <f>Time!V$28</f>
        <v>13</v>
      </c>
      <c r="W4" s="26">
        <f>Time!W$28</f>
        <v>14</v>
      </c>
      <c r="X4" s="26">
        <f>Time!X$28</f>
        <v>15</v>
      </c>
      <c r="Y4" s="26">
        <f>Time!Y$28</f>
        <v>16</v>
      </c>
      <c r="Z4" s="26">
        <f>Time!Z$28</f>
        <v>17</v>
      </c>
      <c r="AA4" s="26">
        <f>Time!AA$28</f>
        <v>18</v>
      </c>
      <c r="AB4" s="26">
        <f>Time!AB$28</f>
        <v>19</v>
      </c>
      <c r="AC4" s="26">
        <f>Time!AC$28</f>
        <v>20</v>
      </c>
      <c r="AD4" s="26">
        <f>Time!AD$28</f>
        <v>21</v>
      </c>
      <c r="AE4" s="26">
        <f>Time!AE$28</f>
        <v>22</v>
      </c>
      <c r="AF4" s="26">
        <f>Time!AF$28</f>
        <v>23</v>
      </c>
      <c r="AG4" s="26">
        <f>Time!AG$28</f>
        <v>24</v>
      </c>
      <c r="AH4" s="26">
        <f>Time!AH$28</f>
        <v>25</v>
      </c>
      <c r="AI4" s="26">
        <f>Time!AI$28</f>
        <v>26</v>
      </c>
      <c r="AJ4" s="26">
        <f>Time!AJ$28</f>
        <v>27</v>
      </c>
      <c r="AK4" s="26">
        <f>Time!AK$28</f>
        <v>28</v>
      </c>
      <c r="AL4" s="26">
        <f>Time!AL$28</f>
        <v>29</v>
      </c>
      <c r="AM4" s="26">
        <f>Time!AM$28</f>
        <v>30</v>
      </c>
      <c r="AN4" s="26">
        <f>Time!AN$28</f>
        <v>31</v>
      </c>
      <c r="AO4" s="26">
        <f>Time!AO$28</f>
        <v>32</v>
      </c>
      <c r="AP4" s="26">
        <f>Time!AP$28</f>
        <v>33</v>
      </c>
      <c r="AQ4" s="26">
        <f>Time!AQ$28</f>
        <v>34</v>
      </c>
      <c r="AR4" s="26">
        <f>Time!AR$28</f>
        <v>35</v>
      </c>
      <c r="AS4" s="26">
        <f>Time!AS$28</f>
        <v>36</v>
      </c>
      <c r="AT4" s="26">
        <f>Time!AT$28</f>
        <v>37</v>
      </c>
      <c r="AU4" s="26">
        <f>Time!AU$28</f>
        <v>38</v>
      </c>
      <c r="AV4" s="26">
        <f>Time!AV$28</f>
        <v>39</v>
      </c>
      <c r="AW4" s="26">
        <f>Time!AW$28</f>
        <v>40</v>
      </c>
      <c r="AX4" s="26">
        <f>Time!AX$28</f>
        <v>41</v>
      </c>
      <c r="AY4" s="26">
        <f>Time!AY$28</f>
        <v>42</v>
      </c>
      <c r="AZ4" s="26">
        <f>Time!AZ$28</f>
        <v>43</v>
      </c>
      <c r="BA4" s="26">
        <f>Time!BA$28</f>
        <v>44</v>
      </c>
      <c r="BB4" s="26">
        <f>Time!BB$28</f>
        <v>45</v>
      </c>
      <c r="BC4" s="26">
        <f>Time!BC$28</f>
        <v>46</v>
      </c>
      <c r="BD4" s="26">
        <f>Time!BD$28</f>
        <v>47</v>
      </c>
      <c r="BE4" s="26">
        <f>Time!BE$28</f>
        <v>48</v>
      </c>
      <c r="BF4" s="26">
        <f>Time!BF$28</f>
        <v>49</v>
      </c>
      <c r="BG4" s="26">
        <f>Time!BG$28</f>
        <v>50</v>
      </c>
      <c r="BH4" s="26">
        <f>Time!BH$28</f>
        <v>51</v>
      </c>
      <c r="BI4" s="26">
        <f>Time!BI$28</f>
        <v>52</v>
      </c>
      <c r="BJ4" s="26">
        <f>Time!BJ$28</f>
        <v>53</v>
      </c>
      <c r="BK4" s="26">
        <f>Time!BK$28</f>
        <v>54</v>
      </c>
      <c r="BL4" s="26">
        <f>Time!BL$28</f>
        <v>55</v>
      </c>
      <c r="BM4" s="26">
        <f>Time!BM$28</f>
        <v>56</v>
      </c>
      <c r="BN4" s="26">
        <f>Time!BN$28</f>
        <v>57</v>
      </c>
      <c r="BO4" s="26">
        <f>Time!BO$28</f>
        <v>58</v>
      </c>
      <c r="BP4" s="26">
        <f>Time!BP$28</f>
        <v>59</v>
      </c>
      <c r="BQ4" s="26">
        <f>Time!BQ$28</f>
        <v>60</v>
      </c>
    </row>
    <row r="5" spans="1:69" s="55" customFormat="1">
      <c r="A5" s="60"/>
      <c r="B5" s="60"/>
      <c r="C5" s="83"/>
      <c r="D5" s="169"/>
      <c r="E5" s="15" t="s">
        <v>312</v>
      </c>
      <c r="F5" s="25" t="s">
        <v>254</v>
      </c>
      <c r="G5" s="25" t="s">
        <v>228</v>
      </c>
      <c r="H5" s="25" t="s">
        <v>205</v>
      </c>
      <c r="I5" s="22"/>
      <c r="J5" s="15"/>
      <c r="K5" s="15"/>
      <c r="L5" s="15"/>
      <c r="M5" s="15"/>
      <c r="N5" s="15"/>
      <c r="O5" s="15"/>
    </row>
    <row r="8" spans="1:69">
      <c r="A8" s="25" t="s">
        <v>237</v>
      </c>
    </row>
    <row r="10" spans="1:69" outlineLevel="1">
      <c r="A10" s="25" t="s">
        <v>102</v>
      </c>
    </row>
    <row r="11" spans="1:69" outlineLevel="1">
      <c r="E11" s="41" t="s">
        <v>77</v>
      </c>
      <c r="G11" s="41" t="s">
        <v>258</v>
      </c>
      <c r="H11" s="47">
        <f>SUM( J11:BQ11 )</f>
        <v>0</v>
      </c>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row>
    <row r="13" spans="1:69" outlineLevel="1">
      <c r="A13" s="25" t="s">
        <v>339</v>
      </c>
    </row>
    <row r="14" spans="1:69" outlineLevel="1">
      <c r="E14" s="41" t="s">
        <v>341</v>
      </c>
      <c r="G14" s="41" t="s">
        <v>258</v>
      </c>
      <c r="H14" s="47">
        <f>SUM( J14:BQ14 )</f>
        <v>35000</v>
      </c>
      <c r="J14" s="16"/>
      <c r="K14" s="16">
        <v>5000</v>
      </c>
      <c r="L14" s="16"/>
      <c r="M14" s="16"/>
      <c r="N14" s="16"/>
      <c r="O14" s="16">
        <v>10000</v>
      </c>
      <c r="P14" s="16"/>
      <c r="Q14" s="16"/>
      <c r="R14" s="16"/>
      <c r="S14" s="16">
        <v>10000</v>
      </c>
      <c r="T14" s="16"/>
      <c r="U14" s="16">
        <v>10000</v>
      </c>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row>
    <row r="15" spans="1:69" outlineLevel="1">
      <c r="E15" s="41" t="s">
        <v>52</v>
      </c>
      <c r="G15" s="41" t="s">
        <v>258</v>
      </c>
      <c r="H15" s="47">
        <f>SUM( J15:BQ15 )</f>
        <v>50000</v>
      </c>
      <c r="J15" s="16"/>
      <c r="K15" s="16"/>
      <c r="L15" s="16">
        <v>10000</v>
      </c>
      <c r="M15" s="16">
        <v>10000</v>
      </c>
      <c r="N15" s="16">
        <v>10000</v>
      </c>
      <c r="O15" s="16"/>
      <c r="P15" s="16">
        <v>10000</v>
      </c>
      <c r="Q15" s="16"/>
      <c r="R15" s="16">
        <v>10000</v>
      </c>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row>
    <row r="16" spans="1:69" outlineLevel="1">
      <c r="E16" s="41" t="s">
        <v>166</v>
      </c>
      <c r="G16" s="41" t="s">
        <v>258</v>
      </c>
      <c r="H16" s="47">
        <f>SUM( J16:BQ16 )</f>
        <v>38000</v>
      </c>
      <c r="J16" s="16">
        <v>1000</v>
      </c>
      <c r="K16" s="16">
        <v>1000</v>
      </c>
      <c r="L16" s="16">
        <v>1000</v>
      </c>
      <c r="M16" s="16">
        <v>1000</v>
      </c>
      <c r="N16" s="16">
        <v>3000</v>
      </c>
      <c r="O16" s="16">
        <v>3000</v>
      </c>
      <c r="P16" s="16">
        <v>3000</v>
      </c>
      <c r="Q16" s="16">
        <v>5000</v>
      </c>
      <c r="R16" s="16">
        <v>5000</v>
      </c>
      <c r="S16" s="16">
        <v>5000</v>
      </c>
      <c r="T16" s="16">
        <v>5000</v>
      </c>
      <c r="U16" s="16">
        <v>5000</v>
      </c>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c r="BK16" s="16"/>
      <c r="BL16" s="16"/>
      <c r="BM16" s="16"/>
      <c r="BN16" s="16"/>
      <c r="BO16" s="16"/>
      <c r="BP16" s="16"/>
      <c r="BQ16" s="16"/>
    </row>
    <row r="18" spans="1:69" outlineLevel="1">
      <c r="A18" s="25" t="s">
        <v>281</v>
      </c>
    </row>
    <row r="19" spans="1:69" outlineLevel="1"/>
    <row r="20" spans="1:69" outlineLevel="2">
      <c r="A20" s="25" t="s">
        <v>53</v>
      </c>
    </row>
    <row r="21" spans="1:69" s="231" customFormat="1" outlineLevel="2">
      <c r="A21" s="164"/>
      <c r="B21" s="164"/>
      <c r="C21" s="290"/>
      <c r="D21" s="270"/>
      <c r="E21" s="123" t="s">
        <v>7</v>
      </c>
      <c r="F21" s="123"/>
      <c r="G21" s="123" t="s">
        <v>213</v>
      </c>
      <c r="H21" s="123"/>
      <c r="I21" s="123"/>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row>
    <row r="24" spans="1:69">
      <c r="B24" s="25" t="s">
        <v>271</v>
      </c>
    </row>
  </sheetData>
  <conditionalFormatting sqref="J3:BQ3">
    <cfRule type="cellIs" dxfId="352" priority="6" stopIfTrue="1" operator="equal">
      <formula>"Construction"</formula>
    </cfRule>
    <cfRule type="cellIs" dxfId="351" priority="7" stopIfTrue="1" operator="equal">
      <formula>"Operations"</formula>
    </cfRule>
  </conditionalFormatting>
  <conditionalFormatting sqref="J3:BQ3">
    <cfRule type="cellIs" dxfId="350" priority="5" operator="equal">
      <formula>"Fin Close"</formula>
    </cfRule>
  </conditionalFormatting>
  <conditionalFormatting sqref="J3:BQ3">
    <cfRule type="cellIs" dxfId="349" priority="3" operator="equal">
      <formula>"PPA ext."</formula>
    </cfRule>
    <cfRule type="cellIs" dxfId="348" priority="4" operator="equal">
      <formula>"Delay"</formula>
    </cfRule>
  </conditionalFormatting>
  <conditionalFormatting sqref="F2:F3">
    <cfRule type="cellIs" dxfId="347" priority="1" stopIfTrue="1" operator="notEqual">
      <formula>0</formula>
    </cfRule>
    <cfRule type="cellIs" dxfId="346" priority="2" stopIfTrue="1" operator="equal">
      <formula>""</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190" customWidth="1"/>
    <col min="5" max="5" width="71.44140625" style="47" customWidth="1"/>
    <col min="6" max="6" width="16.33203125" style="47" customWidth="1"/>
    <col min="7" max="8" width="15.109375" style="47" customWidth="1"/>
    <col min="9" max="9" width="3.44140625" style="47" customWidth="1"/>
    <col min="10" max="15" width="15.109375" style="47" customWidth="1"/>
    <col min="16" max="16" width="15.109375" style="47" hidden="1" customWidth="1"/>
    <col min="17" max="16384" width="15.109375" style="47" hidden="1"/>
  </cols>
  <sheetData>
    <row r="1" spans="1:15" s="69" customFormat="1" ht="25">
      <c r="A1" s="46" t="str">
        <f ca="1" xml:space="preserve"> RIGHT(CELL("filename", A1), LEN(CELL("filename", A1)) - SEARCH("]", CELL("filename", A1)))</f>
        <v>InpT</v>
      </c>
      <c r="B1" s="86"/>
      <c r="C1" s="85"/>
      <c r="D1" s="171"/>
      <c r="F1" s="53" t="str">
        <f>HYPERLINK("#Contents!A1","Go to contents")</f>
        <v>Go to contents</v>
      </c>
      <c r="H1" s="58"/>
      <c r="J1" s="58"/>
    </row>
    <row r="2" spans="1:15" s="55" customFormat="1">
      <c r="A2" s="60"/>
      <c r="B2" s="60"/>
      <c r="C2" s="83"/>
      <c r="D2" s="169"/>
      <c r="E2" s="170" t="s">
        <v>331</v>
      </c>
      <c r="F2" s="52">
        <f ca="1" xml:space="preserve"> 'Model Checks and Alerts'!F11</f>
        <v>0</v>
      </c>
      <c r="G2" s="54" t="s">
        <v>144</v>
      </c>
      <c r="H2" s="22"/>
      <c r="I2" s="22"/>
      <c r="J2" s="6"/>
      <c r="K2" s="6"/>
      <c r="L2" s="6"/>
      <c r="M2" s="6"/>
      <c r="N2" s="6"/>
      <c r="O2" s="6"/>
    </row>
    <row r="3" spans="1:15" s="55" customFormat="1">
      <c r="A3" s="60"/>
      <c r="B3" s="60"/>
      <c r="C3" s="83"/>
      <c r="D3" s="169"/>
      <c r="E3" s="15" t="s">
        <v>206</v>
      </c>
      <c r="F3" s="52"/>
      <c r="G3" s="54" t="s">
        <v>98</v>
      </c>
      <c r="H3" s="22"/>
      <c r="I3" s="22"/>
      <c r="J3" s="7"/>
      <c r="K3" s="7"/>
      <c r="L3" s="7"/>
      <c r="M3" s="7"/>
      <c r="N3" s="7"/>
      <c r="O3" s="7"/>
    </row>
    <row r="4" spans="1:15" s="55" customFormat="1">
      <c r="A4" s="60"/>
      <c r="B4" s="60"/>
      <c r="C4" s="83"/>
      <c r="D4" s="169"/>
      <c r="E4" s="26" t="s">
        <v>332</v>
      </c>
      <c r="F4" s="47"/>
      <c r="G4" s="47"/>
      <c r="H4" s="22"/>
      <c r="I4" s="22"/>
      <c r="J4" s="26"/>
      <c r="K4" s="26"/>
      <c r="L4" s="26"/>
      <c r="M4" s="26"/>
      <c r="N4" s="26"/>
      <c r="O4" s="26"/>
    </row>
    <row r="5" spans="1:15" s="55" customFormat="1">
      <c r="A5" s="60"/>
      <c r="B5" s="60"/>
      <c r="C5" s="83"/>
      <c r="D5" s="169"/>
      <c r="E5" s="15" t="s">
        <v>312</v>
      </c>
      <c r="F5" s="25"/>
      <c r="G5" s="25" t="s">
        <v>228</v>
      </c>
      <c r="H5" s="25"/>
      <c r="I5" s="22"/>
      <c r="J5" s="15"/>
      <c r="K5" s="15"/>
      <c r="L5" s="15"/>
      <c r="M5" s="15"/>
      <c r="N5" s="15"/>
      <c r="O5" s="15"/>
    </row>
  </sheetData>
  <conditionalFormatting sqref="J3:O3">
    <cfRule type="cellIs" dxfId="345" priority="6" stopIfTrue="1" operator="equal">
      <formula>"Construction"</formula>
    </cfRule>
    <cfRule type="cellIs" dxfId="344" priority="7" stopIfTrue="1" operator="equal">
      <formula>"Operations"</formula>
    </cfRule>
  </conditionalFormatting>
  <conditionalFormatting sqref="J3:O3">
    <cfRule type="cellIs" dxfId="343" priority="5" operator="equal">
      <formula>"Fin Close"</formula>
    </cfRule>
  </conditionalFormatting>
  <conditionalFormatting sqref="J3:O3">
    <cfRule type="cellIs" dxfId="342" priority="3" operator="equal">
      <formula>"PPA ext."</formula>
    </cfRule>
    <cfRule type="cellIs" dxfId="341" priority="4" operator="equal">
      <formula>"Delay"</formula>
    </cfRule>
  </conditionalFormatting>
  <conditionalFormatting sqref="F2:F3">
    <cfRule type="cellIs" dxfId="340" priority="1" stopIfTrue="1" operator="notEqual">
      <formula>0</formula>
    </cfRule>
    <cfRule type="cellIs" dxfId="339" priority="2" stopIfTrue="1" operator="equal">
      <formula>""</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Q36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70.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5546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5546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Time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2" customFormat="1">
      <c r="A3" s="60"/>
      <c r="B3" s="60"/>
      <c r="C3" s="83"/>
      <c r="D3" s="89"/>
      <c r="E3" s="41" t="s">
        <v>206</v>
      </c>
      <c r="F3" s="52"/>
      <c r="G3" s="54" t="s">
        <v>98</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6" customFormat="1">
      <c r="A4" s="60"/>
      <c r="B4" s="60"/>
      <c r="C4" s="83"/>
      <c r="D4" s="89"/>
      <c r="E4" s="22" t="s">
        <v>332</v>
      </c>
      <c r="F4" s="25"/>
      <c r="G4" s="22"/>
      <c r="H4" s="22"/>
      <c r="I4" s="22"/>
      <c r="J4" s="26">
        <f t="shared" ref="J4:BQ4" si="2" xml:space="preserve"> J$28</f>
        <v>1</v>
      </c>
      <c r="K4" s="26">
        <f t="shared" si="2"/>
        <v>2</v>
      </c>
      <c r="L4" s="26">
        <f t="shared" si="2"/>
        <v>3</v>
      </c>
      <c r="M4" s="26">
        <f t="shared" si="2"/>
        <v>4</v>
      </c>
      <c r="N4" s="26">
        <f t="shared" si="2"/>
        <v>5</v>
      </c>
      <c r="O4" s="26">
        <f t="shared" si="2"/>
        <v>6</v>
      </c>
      <c r="P4" s="26">
        <f t="shared" si="2"/>
        <v>7</v>
      </c>
      <c r="Q4" s="26">
        <f t="shared" si="2"/>
        <v>8</v>
      </c>
      <c r="R4" s="26">
        <f t="shared" si="2"/>
        <v>9</v>
      </c>
      <c r="S4" s="26">
        <f t="shared" si="2"/>
        <v>10</v>
      </c>
      <c r="T4" s="26">
        <f t="shared" si="2"/>
        <v>11</v>
      </c>
      <c r="U4" s="26">
        <f t="shared" si="2"/>
        <v>12</v>
      </c>
      <c r="V4" s="26">
        <f t="shared" si="2"/>
        <v>13</v>
      </c>
      <c r="W4" s="26">
        <f t="shared" si="2"/>
        <v>14</v>
      </c>
      <c r="X4" s="26">
        <f t="shared" si="2"/>
        <v>15</v>
      </c>
      <c r="Y4" s="26">
        <f t="shared" si="2"/>
        <v>16</v>
      </c>
      <c r="Z4" s="26">
        <f t="shared" si="2"/>
        <v>17</v>
      </c>
      <c r="AA4" s="26">
        <f t="shared" si="2"/>
        <v>18</v>
      </c>
      <c r="AB4" s="26">
        <f t="shared" si="2"/>
        <v>19</v>
      </c>
      <c r="AC4" s="26">
        <f t="shared" si="2"/>
        <v>20</v>
      </c>
      <c r="AD4" s="26">
        <f t="shared" si="2"/>
        <v>21</v>
      </c>
      <c r="AE4" s="26">
        <f t="shared" si="2"/>
        <v>22</v>
      </c>
      <c r="AF4" s="26">
        <f t="shared" si="2"/>
        <v>23</v>
      </c>
      <c r="AG4" s="26">
        <f t="shared" si="2"/>
        <v>24</v>
      </c>
      <c r="AH4" s="26">
        <f t="shared" si="2"/>
        <v>25</v>
      </c>
      <c r="AI4" s="26">
        <f t="shared" si="2"/>
        <v>26</v>
      </c>
      <c r="AJ4" s="26">
        <f t="shared" si="2"/>
        <v>27</v>
      </c>
      <c r="AK4" s="26">
        <f t="shared" si="2"/>
        <v>28</v>
      </c>
      <c r="AL4" s="26">
        <f t="shared" si="2"/>
        <v>29</v>
      </c>
      <c r="AM4" s="26">
        <f t="shared" si="2"/>
        <v>30</v>
      </c>
      <c r="AN4" s="26">
        <f t="shared" si="2"/>
        <v>31</v>
      </c>
      <c r="AO4" s="26">
        <f t="shared" si="2"/>
        <v>32</v>
      </c>
      <c r="AP4" s="26">
        <f t="shared" si="2"/>
        <v>33</v>
      </c>
      <c r="AQ4" s="26">
        <f t="shared" si="2"/>
        <v>34</v>
      </c>
      <c r="AR4" s="26">
        <f t="shared" si="2"/>
        <v>35</v>
      </c>
      <c r="AS4" s="26">
        <f t="shared" si="2"/>
        <v>36</v>
      </c>
      <c r="AT4" s="26">
        <f t="shared" si="2"/>
        <v>37</v>
      </c>
      <c r="AU4" s="26">
        <f t="shared" si="2"/>
        <v>38</v>
      </c>
      <c r="AV4" s="26">
        <f t="shared" si="2"/>
        <v>39</v>
      </c>
      <c r="AW4" s="26">
        <f t="shared" si="2"/>
        <v>40</v>
      </c>
      <c r="AX4" s="26">
        <f t="shared" si="2"/>
        <v>41</v>
      </c>
      <c r="AY4" s="26">
        <f t="shared" si="2"/>
        <v>42</v>
      </c>
      <c r="AZ4" s="26">
        <f t="shared" si="2"/>
        <v>43</v>
      </c>
      <c r="BA4" s="26">
        <f t="shared" si="2"/>
        <v>44</v>
      </c>
      <c r="BB4" s="26">
        <f t="shared" si="2"/>
        <v>45</v>
      </c>
      <c r="BC4" s="26">
        <f t="shared" si="2"/>
        <v>46</v>
      </c>
      <c r="BD4" s="26">
        <f t="shared" si="2"/>
        <v>47</v>
      </c>
      <c r="BE4" s="26">
        <f t="shared" si="2"/>
        <v>48</v>
      </c>
      <c r="BF4" s="26">
        <f t="shared" si="2"/>
        <v>49</v>
      </c>
      <c r="BG4" s="26">
        <f t="shared" si="2"/>
        <v>50</v>
      </c>
      <c r="BH4" s="26">
        <f t="shared" si="2"/>
        <v>51</v>
      </c>
      <c r="BI4" s="26">
        <f t="shared" si="2"/>
        <v>52</v>
      </c>
      <c r="BJ4" s="26">
        <f t="shared" si="2"/>
        <v>53</v>
      </c>
      <c r="BK4" s="26">
        <f t="shared" si="2"/>
        <v>54</v>
      </c>
      <c r="BL4" s="26">
        <f t="shared" si="2"/>
        <v>55</v>
      </c>
      <c r="BM4" s="26">
        <f t="shared" si="2"/>
        <v>56</v>
      </c>
      <c r="BN4" s="26">
        <f t="shared" si="2"/>
        <v>57</v>
      </c>
      <c r="BO4" s="26">
        <f t="shared" si="2"/>
        <v>58</v>
      </c>
      <c r="BP4" s="26">
        <f t="shared" si="2"/>
        <v>59</v>
      </c>
      <c r="BQ4" s="26">
        <f t="shared" si="2"/>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v>
      </c>
    </row>
    <row r="9" spans="1:69" outlineLevel="1">
      <c r="A9" s="18"/>
      <c r="B9" s="18"/>
      <c r="C9" s="28"/>
      <c r="D9" s="27"/>
      <c r="E9" s="20" t="str">
        <f xml:space="preserve">  InpC!E$101</f>
        <v>Start date</v>
      </c>
      <c r="F9" s="20">
        <f xml:space="preserve">  InpC!F$101</f>
        <v>45047</v>
      </c>
      <c r="G9" s="20" t="str">
        <f xml:space="preserve">  InpC!G$101</f>
        <v>date</v>
      </c>
      <c r="M9" s="8"/>
    </row>
    <row r="10" spans="1:69" outlineLevel="1">
      <c r="A10" s="18"/>
      <c r="B10" s="18"/>
      <c r="C10" s="28"/>
      <c r="D10" s="27"/>
      <c r="E10" s="4" t="str">
        <f xml:space="preserve">  InpC!E$99</f>
        <v>Months per period (Primary)</v>
      </c>
      <c r="F10" s="4">
        <f xml:space="preserve">  InpC!F$99</f>
        <v>1</v>
      </c>
      <c r="G10" s="4" t="str">
        <f xml:space="preserve">  InpC!G$99</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4"/>
      <c r="B12" s="34"/>
      <c r="C12" s="64"/>
      <c r="D12" s="65"/>
      <c r="E12" s="21" t="s">
        <v>30</v>
      </c>
      <c r="F12" s="21"/>
      <c r="G12" s="21" t="s">
        <v>213</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5" t="s">
        <v>167</v>
      </c>
    </row>
    <row r="16" spans="1:69" outlineLevel="1">
      <c r="B16" s="25" t="s">
        <v>331</v>
      </c>
    </row>
    <row r="17" spans="1:69" outlineLevel="2">
      <c r="A17" s="18"/>
      <c r="B17" s="18"/>
      <c r="C17" s="28"/>
      <c r="D17" s="27"/>
      <c r="E17" s="4" t="str">
        <f xml:space="preserve">  InpC!E$99</f>
        <v>Months per period (Primary)</v>
      </c>
      <c r="F17" s="4">
        <f xml:space="preserve">  InpC!F$99</f>
        <v>1</v>
      </c>
      <c r="G17" s="4" t="str">
        <f xml:space="preserve">  InpC!G$99</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4"/>
      <c r="B19" s="34"/>
      <c r="C19" s="64"/>
      <c r="D19" s="65"/>
      <c r="E19" s="21" t="s">
        <v>331</v>
      </c>
      <c r="F19" s="21"/>
      <c r="G19" s="21" t="s">
        <v>213</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5" t="s">
        <v>206</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4"/>
      <c r="B24" s="34"/>
      <c r="C24" s="64"/>
      <c r="D24" s="65"/>
      <c r="E24" s="21" t="s">
        <v>206</v>
      </c>
      <c r="F24" s="21"/>
      <c r="G24" s="21" t="s">
        <v>258</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5" t="s">
        <v>312</v>
      </c>
    </row>
    <row r="28" spans="1:69" outlineLevel="1">
      <c r="A28" s="34"/>
      <c r="B28" s="34"/>
      <c r="C28" s="64"/>
      <c r="D28" s="65"/>
      <c r="E28" s="21" t="s">
        <v>312</v>
      </c>
      <c r="F28" s="21"/>
      <c r="G28" s="21" t="s">
        <v>286</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5" t="s">
        <v>31</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E$302</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4"/>
      <c r="B35" s="34"/>
      <c r="C35" s="64"/>
      <c r="D35" s="65"/>
      <c r="E35" s="21" t="s">
        <v>31</v>
      </c>
      <c r="F35" s="21"/>
      <c r="G35" s="21" t="s">
        <v>213</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5"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E$302</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4"/>
      <c r="B42" s="34"/>
      <c r="C42" s="64"/>
      <c r="D42" s="65"/>
      <c r="E42" s="21" t="s">
        <v>8</v>
      </c>
      <c r="F42" s="21"/>
      <c r="G42" s="21" t="s">
        <v>258</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5" t="s">
        <v>238</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E$302</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4"/>
      <c r="B48" s="34"/>
      <c r="C48" s="64"/>
      <c r="D48" s="65"/>
      <c r="E48" s="21" t="s">
        <v>238</v>
      </c>
      <c r="F48" s="21"/>
      <c r="G48" s="21" t="s">
        <v>286</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5" t="s">
        <v>128</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E$321</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4"/>
      <c r="B55" s="34"/>
      <c r="C55" s="64"/>
      <c r="D55" s="65"/>
      <c r="E55" s="21" t="s">
        <v>128</v>
      </c>
      <c r="F55" s="21"/>
      <c r="G55" s="21" t="s">
        <v>213</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5" t="s">
        <v>192</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E$321</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4"/>
      <c r="B62" s="34"/>
      <c r="C62" s="64"/>
      <c r="D62" s="65"/>
      <c r="E62" s="21" t="s">
        <v>192</v>
      </c>
      <c r="F62" s="21"/>
      <c r="G62" s="21" t="s">
        <v>258</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5"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E$321</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4"/>
      <c r="B68" s="34"/>
      <c r="C68" s="64"/>
      <c r="D68" s="65"/>
      <c r="E68" s="21" t="s">
        <v>54</v>
      </c>
      <c r="F68" s="21"/>
      <c r="G68" s="21" t="s">
        <v>286</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5" t="s">
        <v>193</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E$337</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4"/>
      <c r="B75" s="34"/>
      <c r="C75" s="64"/>
      <c r="D75" s="65"/>
      <c r="E75" s="21" t="s">
        <v>193</v>
      </c>
      <c r="F75" s="21"/>
      <c r="G75" s="21" t="s">
        <v>213</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5" t="s">
        <v>168</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E$337</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4"/>
      <c r="B82" s="34"/>
      <c r="C82" s="64"/>
      <c r="D82" s="65"/>
      <c r="E82" s="21" t="s">
        <v>168</v>
      </c>
      <c r="F82" s="21"/>
      <c r="G82" s="21" t="s">
        <v>258</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5" t="s">
        <v>342</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E$337</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4"/>
      <c r="B88" s="34"/>
      <c r="C88" s="64"/>
      <c r="D88" s="65"/>
      <c r="E88" s="21" t="s">
        <v>342</v>
      </c>
      <c r="F88" s="21"/>
      <c r="G88" s="21" t="s">
        <v>286</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5" t="s">
        <v>194</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E$352</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4"/>
      <c r="B95" s="34"/>
      <c r="C95" s="64"/>
      <c r="D95" s="65"/>
      <c r="E95" s="21" t="s">
        <v>194</v>
      </c>
      <c r="F95" s="21"/>
      <c r="G95" s="21" t="s">
        <v>213</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5" t="s">
        <v>169</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E$352</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4"/>
      <c r="B102" s="34"/>
      <c r="C102" s="64"/>
      <c r="D102" s="65"/>
      <c r="E102" s="21" t="s">
        <v>169</v>
      </c>
      <c r="F102" s="21"/>
      <c r="G102" s="21" t="s">
        <v>258</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5" t="s">
        <v>239</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E$352</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4"/>
      <c r="B108" s="34"/>
      <c r="C108" s="64"/>
      <c r="D108" s="65"/>
      <c r="E108" s="21" t="s">
        <v>239</v>
      </c>
      <c r="F108" s="21"/>
      <c r="G108" s="21" t="s">
        <v>286</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5" t="s">
        <v>149</v>
      </c>
    </row>
    <row r="112" spans="1:69" outlineLevel="1">
      <c r="B112" s="25" t="s">
        <v>240</v>
      </c>
    </row>
    <row r="113" spans="1:69" outlineLevel="2">
      <c r="A113" s="18"/>
      <c r="B113" s="18"/>
      <c r="C113" s="28"/>
      <c r="D113" s="27"/>
      <c r="E113" s="20" t="str">
        <f xml:space="preserve">  InpC!E$101</f>
        <v>Start date</v>
      </c>
      <c r="F113" s="20">
        <f xml:space="preserve">  InpC!F$101</f>
        <v>45047</v>
      </c>
      <c r="G113" s="20" t="str">
        <f xml:space="preserve">  InpC!G$101</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7" t="s">
        <v>240</v>
      </c>
      <c r="G115" s="47" t="s">
        <v>20</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5" t="s">
        <v>298</v>
      </c>
    </row>
    <row r="119" spans="1:69" outlineLevel="2">
      <c r="A119" s="18"/>
      <c r="B119" s="18"/>
      <c r="C119" s="28"/>
      <c r="D119" s="27"/>
      <c r="E119" s="20" t="str">
        <f xml:space="preserve">  InpC!E$101</f>
        <v>Start date</v>
      </c>
      <c r="F119" s="20">
        <f xml:space="preserve">  InpC!F$101</f>
        <v>45047</v>
      </c>
      <c r="G119" s="20" t="str">
        <f xml:space="preserve">  InpC!G$101</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7" t="s">
        <v>298</v>
      </c>
      <c r="G122" s="47" t="s">
        <v>20</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5" t="s">
        <v>103</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7" t="s">
        <v>103</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5" t="s">
        <v>104</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7" t="s">
        <v>104</v>
      </c>
      <c r="F133" s="2">
        <f xml:space="preserve">  SUM( $J132:$BQ132 )</f>
        <v>1</v>
      </c>
      <c r="M133" s="2"/>
    </row>
    <row r="134" spans="1:69" outlineLevel="1"/>
    <row r="135" spans="1:69" outlineLevel="1"/>
    <row r="136" spans="1:69" outlineLevel="1">
      <c r="B136" s="25" t="s">
        <v>195</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28"/>
      <c r="D138" s="27"/>
      <c r="E138" s="4" t="str">
        <f xml:space="preserve">  InpC!E$17</f>
        <v>Customer Order Growth escalation frequency</v>
      </c>
      <c r="F138" s="4">
        <f xml:space="preserve">  InpC!F$17</f>
        <v>1</v>
      </c>
      <c r="G138" s="4">
        <f xml:space="preserve">  InpC!G$17</f>
        <v>0</v>
      </c>
      <c r="M138" s="2"/>
    </row>
    <row r="139" spans="1:69" outlineLevel="2">
      <c r="A139" s="18"/>
      <c r="B139" s="18"/>
      <c r="C139" s="28"/>
      <c r="D139" s="27"/>
      <c r="E139" s="4" t="str">
        <f xml:space="preserve">  InpC!E$99</f>
        <v>Months per period (Primary)</v>
      </c>
      <c r="F139" s="4">
        <f xml:space="preserve">  InpC!F$99</f>
        <v>1</v>
      </c>
      <c r="G139" s="4" t="str">
        <f xml:space="preserve">  InpC!G$99</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7" t="s">
        <v>195</v>
      </c>
      <c r="G142" s="47" t="s">
        <v>20</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5" t="s">
        <v>105</v>
      </c>
    </row>
    <row r="146" spans="1:69" outlineLevel="2">
      <c r="A146" s="18"/>
      <c r="B146" s="18"/>
      <c r="C146" s="28"/>
      <c r="D146" s="27"/>
      <c r="E146" s="20" t="str">
        <f xml:space="preserve">  InpC!E$101</f>
        <v>Start date</v>
      </c>
      <c r="F146" s="20">
        <f xml:space="preserve">  InpC!F$101</f>
        <v>45047</v>
      </c>
      <c r="G146" s="20" t="str">
        <f xml:space="preserve">  InpC!G$101</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7" t="s">
        <v>105</v>
      </c>
      <c r="G149" s="47" t="s">
        <v>213</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5" t="s">
        <v>106</v>
      </c>
    </row>
    <row r="153" spans="1:69" outlineLevel="2">
      <c r="A153" s="18"/>
      <c r="B153" s="18"/>
      <c r="C153" s="28"/>
      <c r="D153" s="27"/>
      <c r="E153" s="20" t="str">
        <f xml:space="preserve">  InpC!E$101</f>
        <v>Start date</v>
      </c>
      <c r="F153" s="20">
        <f xml:space="preserve">  InpC!F$101</f>
        <v>45047</v>
      </c>
      <c r="G153" s="20" t="str">
        <f xml:space="preserve">  InpC!G$101</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7" t="s">
        <v>106</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5" t="s">
        <v>170</v>
      </c>
    </row>
    <row r="160" spans="1:69" outlineLevel="2">
      <c r="A160" s="18"/>
      <c r="B160" s="18"/>
      <c r="C160" s="28"/>
      <c r="D160" s="27"/>
      <c r="E160" s="42" t="str">
        <f xml:space="preserve">  InpC!E$16</f>
        <v>Customer Order Growth annual start escalation rate</v>
      </c>
      <c r="F160" s="42">
        <f xml:space="preserve">  InpC!F$16</f>
        <v>1</v>
      </c>
      <c r="G160" s="42" t="str">
        <f xml:space="preserve">  InpC!G$16</f>
        <v>%</v>
      </c>
      <c r="M160" s="57"/>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E164" s="47" t="s">
        <v>170</v>
      </c>
      <c r="G164" s="47" t="s">
        <v>38</v>
      </c>
      <c r="J164" s="37">
        <f t="shared" ref="J164:BQ164" si="76" xml:space="preserve">  IF( J162 = 0, 1, IF( J163 = 1, ( 1 + $F160 ) ^ J161, I164 ) )</f>
        <v>1</v>
      </c>
      <c r="K164" s="37">
        <f t="shared" si="76"/>
        <v>1.0606373855281319</v>
      </c>
      <c r="L164" s="37">
        <f t="shared" si="76"/>
        <v>1.1228173700183663</v>
      </c>
      <c r="M164" s="37">
        <f t="shared" si="76"/>
        <v>1.1909020797618532</v>
      </c>
      <c r="N164" s="37">
        <f t="shared" si="76"/>
        <v>1.2631152682986266</v>
      </c>
      <c r="O164" s="37">
        <f t="shared" si="76"/>
        <v>1.3371655411476067</v>
      </c>
      <c r="P164" s="37">
        <f t="shared" si="76"/>
        <v>1.4182477635811073</v>
      </c>
      <c r="Q164" s="37">
        <f t="shared" si="76"/>
        <v>1.5013926961905415</v>
      </c>
      <c r="R164" s="37">
        <f t="shared" si="76"/>
        <v>1.5924332239385688</v>
      </c>
      <c r="S164" s="37">
        <f t="shared" si="76"/>
        <v>1.6889942112663376</v>
      </c>
      <c r="T164" s="37">
        <f t="shared" si="76"/>
        <v>1.7817974362806785</v>
      </c>
      <c r="U164" s="37">
        <f t="shared" si="76"/>
        <v>1.8895370233838522</v>
      </c>
      <c r="V164" s="37">
        <f t="shared" si="76"/>
        <v>2</v>
      </c>
      <c r="W164" s="37">
        <f t="shared" si="76"/>
        <v>2.123116166406207</v>
      </c>
      <c r="X164" s="37">
        <f t="shared" si="76"/>
        <v>2.2474089271664077</v>
      </c>
      <c r="Y164" s="37">
        <f t="shared" si="76"/>
        <v>2.3834939697312532</v>
      </c>
      <c r="Z164" s="37">
        <f t="shared" si="76"/>
        <v>2.5278192299912496</v>
      </c>
      <c r="AA164" s="37">
        <f t="shared" si="76"/>
        <v>2.6758043641867868</v>
      </c>
      <c r="AB164" s="37">
        <f t="shared" si="76"/>
        <v>2.8378295952846591</v>
      </c>
      <c r="AC164" s="37">
        <f t="shared" si="76"/>
        <v>3.0039635452521662</v>
      </c>
      <c r="AD164" s="37">
        <f t="shared" si="76"/>
        <v>3.1875439973292665</v>
      </c>
      <c r="AE164" s="37">
        <f t="shared" si="76"/>
        <v>3.3806467402188143</v>
      </c>
      <c r="AF164" s="37">
        <f t="shared" si="76"/>
        <v>3.565097680673023</v>
      </c>
      <c r="AG164" s="37">
        <f t="shared" si="76"/>
        <v>3.7810727829410813</v>
      </c>
      <c r="AH164" s="37">
        <f t="shared" si="76"/>
        <v>4.002530534348697</v>
      </c>
      <c r="AI164" s="37">
        <f t="shared" si="76"/>
        <v>4.245005501072133</v>
      </c>
      <c r="AJ164" s="37">
        <f t="shared" si="76"/>
        <v>4.4936358308615398</v>
      </c>
      <c r="AK164" s="37">
        <f t="shared" si="76"/>
        <v>4.7658621609806406</v>
      </c>
      <c r="AL164" s="37">
        <f t="shared" si="76"/>
        <v>5.0545800755537291</v>
      </c>
      <c r="AM164" s="37">
        <f t="shared" si="76"/>
        <v>5.3506272563676252</v>
      </c>
      <c r="AN164" s="37">
        <f t="shared" si="76"/>
        <v>5.674770483959108</v>
      </c>
      <c r="AO164" s="37">
        <f t="shared" si="76"/>
        <v>6.0071422692370309</v>
      </c>
      <c r="AP164" s="37">
        <f t="shared" si="76"/>
        <v>6.3737497145436315</v>
      </c>
      <c r="AQ164" s="37">
        <f t="shared" si="76"/>
        <v>6.7599648394172203</v>
      </c>
      <c r="AR164" s="37">
        <f t="shared" si="76"/>
        <v>7.1288806340588637</v>
      </c>
      <c r="AS164" s="37">
        <f t="shared" si="76"/>
        <v>7.5608526517252477</v>
      </c>
      <c r="AT164" s="37">
        <f t="shared" si="76"/>
        <v>8.003796367598353</v>
      </c>
      <c r="AU164" s="37">
        <f t="shared" si="76"/>
        <v>8.4887835967832839</v>
      </c>
      <c r="AV164" s="37">
        <f t="shared" si="76"/>
        <v>8.9860890625555676</v>
      </c>
      <c r="AW164" s="37">
        <f t="shared" si="76"/>
        <v>9.5305979725149506</v>
      </c>
      <c r="AX164" s="37">
        <f t="shared" si="76"/>
        <v>10.108101208588977</v>
      </c>
      <c r="AY164" s="37">
        <f t="shared" si="76"/>
        <v>10.700272504075359</v>
      </c>
      <c r="AZ164" s="37">
        <f t="shared" si="76"/>
        <v>11.348651757486126</v>
      </c>
      <c r="BA164" s="37">
        <f t="shared" si="76"/>
        <v>12.013499256989205</v>
      </c>
      <c r="BB164" s="37">
        <f t="shared" si="76"/>
        <v>12.745893176469126</v>
      </c>
      <c r="BC164" s="37">
        <f t="shared" si="76"/>
        <v>13.518334978287017</v>
      </c>
      <c r="BD164" s="37">
        <f t="shared" si="76"/>
        <v>14.256183252216472</v>
      </c>
      <c r="BE164" s="37">
        <f t="shared" si="76"/>
        <v>15.120153452336938</v>
      </c>
      <c r="BF164" s="37">
        <f t="shared" si="76"/>
        <v>16.006074731707191</v>
      </c>
      <c r="BG164" s="37">
        <f t="shared" si="76"/>
        <v>16.976093939824924</v>
      </c>
      <c r="BH164" s="37">
        <f t="shared" si="76"/>
        <v>17.970758637460968</v>
      </c>
      <c r="BI164" s="37">
        <f t="shared" si="76"/>
        <v>19.059843960063692</v>
      </c>
      <c r="BJ164" s="37">
        <f t="shared" si="76"/>
        <v>20.214931328759011</v>
      </c>
      <c r="BK164" s="37">
        <f t="shared" si="76"/>
        <v>21.399366254079712</v>
      </c>
      <c r="BL164" s="37">
        <f t="shared" si="76"/>
        <v>22.696236139791509</v>
      </c>
      <c r="BM164" s="37">
        <f t="shared" si="76"/>
        <v>24.026055881451988</v>
      </c>
      <c r="BN164" s="37">
        <f t="shared" si="76"/>
        <v>25.452016011999472</v>
      </c>
      <c r="BO164" s="37">
        <f t="shared" si="76"/>
        <v>26.993909742126416</v>
      </c>
      <c r="BP164" s="37">
        <f t="shared" si="76"/>
        <v>28.520781445384184</v>
      </c>
      <c r="BQ164" s="37">
        <f t="shared" si="76"/>
        <v>30.248582263528654</v>
      </c>
    </row>
    <row r="165" spans="1:69" outlineLevel="1"/>
    <row r="166" spans="1:69" outlineLevel="1"/>
    <row r="167" spans="1:69" outlineLevel="1">
      <c r="B167" s="25" t="s">
        <v>282</v>
      </c>
    </row>
    <row r="168" spans="1:69" outlineLevel="2">
      <c r="A168" s="18"/>
      <c r="B168" s="18"/>
      <c r="C168" s="28"/>
      <c r="D168" s="27"/>
      <c r="E168" s="42" t="str">
        <f xml:space="preserve">  InpC!E$16</f>
        <v>Customer Order Growth annual start escalation rate</v>
      </c>
      <c r="F168" s="42">
        <f xml:space="preserve">  InpC!F$16</f>
        <v>1</v>
      </c>
      <c r="G168" s="42" t="str">
        <f xml:space="preserve">  InpC!G$16</f>
        <v>%</v>
      </c>
      <c r="M168" s="57"/>
    </row>
    <row r="169" spans="1:69" outlineLevel="2">
      <c r="A169" s="18"/>
      <c r="B169" s="18"/>
      <c r="C169" s="28"/>
      <c r="D169" s="27"/>
      <c r="E169" s="4" t="str">
        <f xml:space="preserve">  InpC!E$98</f>
        <v>Months in year</v>
      </c>
      <c r="F169" s="4">
        <f xml:space="preserve">  InpC!F$98</f>
        <v>12</v>
      </c>
      <c r="G169" s="4">
        <f xml:space="preserve">  InpC!G$98</f>
        <v>0</v>
      </c>
      <c r="M169" s="2"/>
    </row>
    <row r="170" spans="1:69" outlineLevel="2">
      <c r="A170" s="34"/>
      <c r="B170" s="34"/>
      <c r="C170" s="64"/>
      <c r="D170" s="65"/>
      <c r="E170" s="21" t="s">
        <v>282</v>
      </c>
      <c r="F170" s="272">
        <f xml:space="preserve">  ( 1 + $F168 ) ^ ( 1 / $F169 ) - 1</f>
        <v>5.946309435929531E-2</v>
      </c>
      <c r="G170" s="21" t="s">
        <v>208</v>
      </c>
      <c r="M170" s="57"/>
    </row>
    <row r="171" spans="1:69" outlineLevel="1"/>
    <row r="173" spans="1:69">
      <c r="A173" s="25" t="s">
        <v>241</v>
      </c>
    </row>
    <row r="174" spans="1:69" outlineLevel="1">
      <c r="B174" s="25" t="s">
        <v>107</v>
      </c>
    </row>
    <row r="175" spans="1:69" outlineLevel="2">
      <c r="A175" s="18"/>
      <c r="B175" s="18"/>
      <c r="C175" s="28"/>
      <c r="D175" s="27"/>
      <c r="E175" s="20" t="str">
        <f xml:space="preserve">  InpC!E$101</f>
        <v>Start date</v>
      </c>
      <c r="F175" s="20">
        <f xml:space="preserve">  InpC!F$101</f>
        <v>45047</v>
      </c>
      <c r="G175" s="20" t="str">
        <f xml:space="preserve">  InpC!G$101</f>
        <v>date</v>
      </c>
      <c r="M175" s="8"/>
    </row>
    <row r="176" spans="1:69" outlineLevel="2">
      <c r="E176" s="8" t="str">
        <f t="shared" ref="E176:BQ176" si="77" xml:space="preserve">  E$19</f>
        <v>Model period end</v>
      </c>
      <c r="F176" s="8">
        <f t="shared" si="77"/>
        <v>0</v>
      </c>
      <c r="G176" s="8" t="str">
        <f t="shared" si="77"/>
        <v>date</v>
      </c>
      <c r="H176" s="8">
        <f t="shared" si="77"/>
        <v>0</v>
      </c>
      <c r="I176" s="8">
        <f t="shared" si="77"/>
        <v>0</v>
      </c>
      <c r="J176" s="8">
        <f t="shared" si="77"/>
        <v>45077</v>
      </c>
      <c r="K176" s="8">
        <f t="shared" si="77"/>
        <v>45107</v>
      </c>
      <c r="L176" s="8">
        <f t="shared" si="77"/>
        <v>45138</v>
      </c>
      <c r="M176" s="8">
        <f t="shared" si="77"/>
        <v>45169</v>
      </c>
      <c r="N176" s="8">
        <f t="shared" si="77"/>
        <v>45199</v>
      </c>
      <c r="O176" s="8">
        <f t="shared" si="77"/>
        <v>45230</v>
      </c>
      <c r="P176" s="8">
        <f t="shared" si="77"/>
        <v>45260</v>
      </c>
      <c r="Q176" s="8">
        <f t="shared" si="77"/>
        <v>45291</v>
      </c>
      <c r="R176" s="8">
        <f t="shared" si="77"/>
        <v>45322</v>
      </c>
      <c r="S176" s="8">
        <f t="shared" si="77"/>
        <v>45351</v>
      </c>
      <c r="T176" s="8">
        <f t="shared" si="77"/>
        <v>45382</v>
      </c>
      <c r="U176" s="8">
        <f t="shared" si="77"/>
        <v>45412</v>
      </c>
      <c r="V176" s="8">
        <f t="shared" si="77"/>
        <v>45443</v>
      </c>
      <c r="W176" s="8">
        <f t="shared" si="77"/>
        <v>45473</v>
      </c>
      <c r="X176" s="8">
        <f t="shared" si="77"/>
        <v>45504</v>
      </c>
      <c r="Y176" s="8">
        <f t="shared" si="77"/>
        <v>45535</v>
      </c>
      <c r="Z176" s="8">
        <f t="shared" si="77"/>
        <v>45565</v>
      </c>
      <c r="AA176" s="8">
        <f t="shared" si="77"/>
        <v>45596</v>
      </c>
      <c r="AB176" s="8">
        <f t="shared" si="77"/>
        <v>45626</v>
      </c>
      <c r="AC176" s="8">
        <f t="shared" si="77"/>
        <v>45657</v>
      </c>
      <c r="AD176" s="8">
        <f t="shared" si="77"/>
        <v>45688</v>
      </c>
      <c r="AE176" s="8">
        <f t="shared" si="77"/>
        <v>45716</v>
      </c>
      <c r="AF176" s="8">
        <f t="shared" si="77"/>
        <v>45747</v>
      </c>
      <c r="AG176" s="8">
        <f t="shared" si="77"/>
        <v>45777</v>
      </c>
      <c r="AH176" s="8">
        <f t="shared" si="77"/>
        <v>45808</v>
      </c>
      <c r="AI176" s="8">
        <f t="shared" si="77"/>
        <v>45838</v>
      </c>
      <c r="AJ176" s="8">
        <f t="shared" si="77"/>
        <v>45869</v>
      </c>
      <c r="AK176" s="8">
        <f t="shared" si="77"/>
        <v>45900</v>
      </c>
      <c r="AL176" s="8">
        <f t="shared" si="77"/>
        <v>45930</v>
      </c>
      <c r="AM176" s="8">
        <f t="shared" si="77"/>
        <v>45961</v>
      </c>
      <c r="AN176" s="8">
        <f t="shared" si="77"/>
        <v>45991</v>
      </c>
      <c r="AO176" s="8">
        <f t="shared" si="77"/>
        <v>46022</v>
      </c>
      <c r="AP176" s="8">
        <f t="shared" si="77"/>
        <v>46053</v>
      </c>
      <c r="AQ176" s="8">
        <f t="shared" si="77"/>
        <v>46081</v>
      </c>
      <c r="AR176" s="8">
        <f t="shared" si="77"/>
        <v>46112</v>
      </c>
      <c r="AS176" s="8">
        <f t="shared" si="77"/>
        <v>46142</v>
      </c>
      <c r="AT176" s="8">
        <f t="shared" si="77"/>
        <v>46173</v>
      </c>
      <c r="AU176" s="8">
        <f t="shared" si="77"/>
        <v>46203</v>
      </c>
      <c r="AV176" s="8">
        <f t="shared" si="77"/>
        <v>46234</v>
      </c>
      <c r="AW176" s="8">
        <f t="shared" si="77"/>
        <v>46265</v>
      </c>
      <c r="AX176" s="8">
        <f t="shared" si="77"/>
        <v>46295</v>
      </c>
      <c r="AY176" s="8">
        <f t="shared" si="77"/>
        <v>46326</v>
      </c>
      <c r="AZ176" s="8">
        <f t="shared" si="77"/>
        <v>46356</v>
      </c>
      <c r="BA176" s="8">
        <f t="shared" si="77"/>
        <v>46387</v>
      </c>
      <c r="BB176" s="8">
        <f t="shared" si="77"/>
        <v>46418</v>
      </c>
      <c r="BC176" s="8">
        <f t="shared" si="77"/>
        <v>46446</v>
      </c>
      <c r="BD176" s="8">
        <f t="shared" si="77"/>
        <v>46477</v>
      </c>
      <c r="BE176" s="8">
        <f t="shared" si="77"/>
        <v>46507</v>
      </c>
      <c r="BF176" s="8">
        <f t="shared" si="77"/>
        <v>46538</v>
      </c>
      <c r="BG176" s="8">
        <f t="shared" si="77"/>
        <v>46568</v>
      </c>
      <c r="BH176" s="8">
        <f t="shared" si="77"/>
        <v>46599</v>
      </c>
      <c r="BI176" s="8">
        <f t="shared" si="77"/>
        <v>46630</v>
      </c>
      <c r="BJ176" s="8">
        <f t="shared" si="77"/>
        <v>46660</v>
      </c>
      <c r="BK176" s="8">
        <f t="shared" si="77"/>
        <v>46691</v>
      </c>
      <c r="BL176" s="8">
        <f t="shared" si="77"/>
        <v>46721</v>
      </c>
      <c r="BM176" s="8">
        <f t="shared" si="77"/>
        <v>46752</v>
      </c>
      <c r="BN176" s="8">
        <f t="shared" si="77"/>
        <v>46783</v>
      </c>
      <c r="BO176" s="8">
        <f t="shared" si="77"/>
        <v>46812</v>
      </c>
      <c r="BP176" s="8">
        <f t="shared" si="77"/>
        <v>46843</v>
      </c>
      <c r="BQ176" s="8">
        <f t="shared" si="77"/>
        <v>46873</v>
      </c>
    </row>
    <row r="177" spans="1:69" outlineLevel="2">
      <c r="E177" s="47" t="s">
        <v>107</v>
      </c>
      <c r="G177" s="47" t="s">
        <v>20</v>
      </c>
      <c r="H177" s="2">
        <f xml:space="preserve"> SUM( J177:BQ177 )</f>
        <v>60</v>
      </c>
      <c r="J177" s="2">
        <f t="shared" ref="J177:BQ177" si="78" xml:space="preserve">  IF( $F175 &lt; J176, 1, 0 )</f>
        <v>1</v>
      </c>
      <c r="K177" s="2">
        <f t="shared" si="78"/>
        <v>1</v>
      </c>
      <c r="L177" s="2">
        <f t="shared" si="78"/>
        <v>1</v>
      </c>
      <c r="M177" s="2">
        <f t="shared" si="78"/>
        <v>1</v>
      </c>
      <c r="N177" s="2">
        <f t="shared" si="78"/>
        <v>1</v>
      </c>
      <c r="O177" s="2">
        <f t="shared" si="78"/>
        <v>1</v>
      </c>
      <c r="P177" s="2">
        <f t="shared" si="78"/>
        <v>1</v>
      </c>
      <c r="Q177" s="2">
        <f t="shared" si="78"/>
        <v>1</v>
      </c>
      <c r="R177" s="2">
        <f t="shared" si="78"/>
        <v>1</v>
      </c>
      <c r="S177" s="2">
        <f t="shared" si="78"/>
        <v>1</v>
      </c>
      <c r="T177" s="2">
        <f t="shared" si="78"/>
        <v>1</v>
      </c>
      <c r="U177" s="2">
        <f t="shared" si="78"/>
        <v>1</v>
      </c>
      <c r="V177" s="2">
        <f t="shared" si="78"/>
        <v>1</v>
      </c>
      <c r="W177" s="2">
        <f t="shared" si="78"/>
        <v>1</v>
      </c>
      <c r="X177" s="2">
        <f t="shared" si="78"/>
        <v>1</v>
      </c>
      <c r="Y177" s="2">
        <f t="shared" si="78"/>
        <v>1</v>
      </c>
      <c r="Z177" s="2">
        <f t="shared" si="78"/>
        <v>1</v>
      </c>
      <c r="AA177" s="2">
        <f t="shared" si="78"/>
        <v>1</v>
      </c>
      <c r="AB177" s="2">
        <f t="shared" si="78"/>
        <v>1</v>
      </c>
      <c r="AC177" s="2">
        <f t="shared" si="78"/>
        <v>1</v>
      </c>
      <c r="AD177" s="2">
        <f t="shared" si="78"/>
        <v>1</v>
      </c>
      <c r="AE177" s="2">
        <f t="shared" si="78"/>
        <v>1</v>
      </c>
      <c r="AF177" s="2">
        <f t="shared" si="78"/>
        <v>1</v>
      </c>
      <c r="AG177" s="2">
        <f t="shared" si="78"/>
        <v>1</v>
      </c>
      <c r="AH177" s="2">
        <f t="shared" si="78"/>
        <v>1</v>
      </c>
      <c r="AI177" s="2">
        <f t="shared" si="78"/>
        <v>1</v>
      </c>
      <c r="AJ177" s="2">
        <f t="shared" si="78"/>
        <v>1</v>
      </c>
      <c r="AK177" s="2">
        <f t="shared" si="78"/>
        <v>1</v>
      </c>
      <c r="AL177" s="2">
        <f t="shared" si="78"/>
        <v>1</v>
      </c>
      <c r="AM177" s="2">
        <f t="shared" si="78"/>
        <v>1</v>
      </c>
      <c r="AN177" s="2">
        <f t="shared" si="78"/>
        <v>1</v>
      </c>
      <c r="AO177" s="2">
        <f t="shared" si="78"/>
        <v>1</v>
      </c>
      <c r="AP177" s="2">
        <f t="shared" si="78"/>
        <v>1</v>
      </c>
      <c r="AQ177" s="2">
        <f t="shared" si="78"/>
        <v>1</v>
      </c>
      <c r="AR177" s="2">
        <f t="shared" si="78"/>
        <v>1</v>
      </c>
      <c r="AS177" s="2">
        <f t="shared" si="78"/>
        <v>1</v>
      </c>
      <c r="AT177" s="2">
        <f t="shared" si="78"/>
        <v>1</v>
      </c>
      <c r="AU177" s="2">
        <f t="shared" si="78"/>
        <v>1</v>
      </c>
      <c r="AV177" s="2">
        <f t="shared" si="78"/>
        <v>1</v>
      </c>
      <c r="AW177" s="2">
        <f t="shared" si="78"/>
        <v>1</v>
      </c>
      <c r="AX177" s="2">
        <f t="shared" si="78"/>
        <v>1</v>
      </c>
      <c r="AY177" s="2">
        <f t="shared" si="78"/>
        <v>1</v>
      </c>
      <c r="AZ177" s="2">
        <f t="shared" si="78"/>
        <v>1</v>
      </c>
      <c r="BA177" s="2">
        <f t="shared" si="78"/>
        <v>1</v>
      </c>
      <c r="BB177" s="2">
        <f t="shared" si="78"/>
        <v>1</v>
      </c>
      <c r="BC177" s="2">
        <f t="shared" si="78"/>
        <v>1</v>
      </c>
      <c r="BD177" s="2">
        <f t="shared" si="78"/>
        <v>1</v>
      </c>
      <c r="BE177" s="2">
        <f t="shared" si="78"/>
        <v>1</v>
      </c>
      <c r="BF177" s="2">
        <f t="shared" si="78"/>
        <v>1</v>
      </c>
      <c r="BG177" s="2">
        <f t="shared" si="78"/>
        <v>1</v>
      </c>
      <c r="BH177" s="2">
        <f t="shared" si="78"/>
        <v>1</v>
      </c>
      <c r="BI177" s="2">
        <f t="shared" si="78"/>
        <v>1</v>
      </c>
      <c r="BJ177" s="2">
        <f t="shared" si="78"/>
        <v>1</v>
      </c>
      <c r="BK177" s="2">
        <f t="shared" si="78"/>
        <v>1</v>
      </c>
      <c r="BL177" s="2">
        <f t="shared" si="78"/>
        <v>1</v>
      </c>
      <c r="BM177" s="2">
        <f t="shared" si="78"/>
        <v>1</v>
      </c>
      <c r="BN177" s="2">
        <f t="shared" si="78"/>
        <v>1</v>
      </c>
      <c r="BO177" s="2">
        <f t="shared" si="78"/>
        <v>1</v>
      </c>
      <c r="BP177" s="2">
        <f t="shared" si="78"/>
        <v>1</v>
      </c>
      <c r="BQ177" s="2">
        <f t="shared" si="78"/>
        <v>1</v>
      </c>
    </row>
    <row r="178" spans="1:69" outlineLevel="1"/>
    <row r="179" spans="1:69" outlineLevel="1"/>
    <row r="180" spans="1:69" outlineLevel="1">
      <c r="B180" s="25" t="s">
        <v>299</v>
      </c>
    </row>
    <row r="181" spans="1:69" outlineLevel="2">
      <c r="A181" s="18"/>
      <c r="B181" s="18"/>
      <c r="C181" s="28"/>
      <c r="D181" s="27"/>
      <c r="E181" s="20" t="str">
        <f xml:space="preserve">  InpC!E$101</f>
        <v>Start date</v>
      </c>
      <c r="F181" s="20">
        <f xml:space="preserve">  InpC!F$101</f>
        <v>45047</v>
      </c>
      <c r="G181" s="20" t="str">
        <f xml:space="preserve">  InpC!G$101</f>
        <v>date</v>
      </c>
      <c r="M181" s="8"/>
    </row>
    <row r="182" spans="1:69" outlineLevel="2">
      <c r="E182" s="8" t="str">
        <f t="shared" ref="E182:BQ182" si="79" xml:space="preserve">  E$19</f>
        <v>Model period end</v>
      </c>
      <c r="F182" s="8">
        <f t="shared" si="79"/>
        <v>0</v>
      </c>
      <c r="G182" s="8" t="str">
        <f t="shared" si="79"/>
        <v>date</v>
      </c>
      <c r="H182" s="8">
        <f t="shared" si="79"/>
        <v>0</v>
      </c>
      <c r="I182" s="8">
        <f t="shared" si="79"/>
        <v>0</v>
      </c>
      <c r="J182" s="8">
        <f t="shared" si="79"/>
        <v>45077</v>
      </c>
      <c r="K182" s="8">
        <f t="shared" si="79"/>
        <v>45107</v>
      </c>
      <c r="L182" s="8">
        <f t="shared" si="79"/>
        <v>45138</v>
      </c>
      <c r="M182" s="8">
        <f t="shared" si="79"/>
        <v>45169</v>
      </c>
      <c r="N182" s="8">
        <f t="shared" si="79"/>
        <v>45199</v>
      </c>
      <c r="O182" s="8">
        <f t="shared" si="79"/>
        <v>45230</v>
      </c>
      <c r="P182" s="8">
        <f t="shared" si="79"/>
        <v>45260</v>
      </c>
      <c r="Q182" s="8">
        <f t="shared" si="79"/>
        <v>45291</v>
      </c>
      <c r="R182" s="8">
        <f t="shared" si="79"/>
        <v>45322</v>
      </c>
      <c r="S182" s="8">
        <f t="shared" si="79"/>
        <v>45351</v>
      </c>
      <c r="T182" s="8">
        <f t="shared" si="79"/>
        <v>45382</v>
      </c>
      <c r="U182" s="8">
        <f t="shared" si="79"/>
        <v>45412</v>
      </c>
      <c r="V182" s="8">
        <f t="shared" si="79"/>
        <v>45443</v>
      </c>
      <c r="W182" s="8">
        <f t="shared" si="79"/>
        <v>45473</v>
      </c>
      <c r="X182" s="8">
        <f t="shared" si="79"/>
        <v>45504</v>
      </c>
      <c r="Y182" s="8">
        <f t="shared" si="79"/>
        <v>45535</v>
      </c>
      <c r="Z182" s="8">
        <f t="shared" si="79"/>
        <v>45565</v>
      </c>
      <c r="AA182" s="8">
        <f t="shared" si="79"/>
        <v>45596</v>
      </c>
      <c r="AB182" s="8">
        <f t="shared" si="79"/>
        <v>45626</v>
      </c>
      <c r="AC182" s="8">
        <f t="shared" si="79"/>
        <v>45657</v>
      </c>
      <c r="AD182" s="8">
        <f t="shared" si="79"/>
        <v>45688</v>
      </c>
      <c r="AE182" s="8">
        <f t="shared" si="79"/>
        <v>45716</v>
      </c>
      <c r="AF182" s="8">
        <f t="shared" si="79"/>
        <v>45747</v>
      </c>
      <c r="AG182" s="8">
        <f t="shared" si="79"/>
        <v>45777</v>
      </c>
      <c r="AH182" s="8">
        <f t="shared" si="79"/>
        <v>45808</v>
      </c>
      <c r="AI182" s="8">
        <f t="shared" si="79"/>
        <v>45838</v>
      </c>
      <c r="AJ182" s="8">
        <f t="shared" si="79"/>
        <v>45869</v>
      </c>
      <c r="AK182" s="8">
        <f t="shared" si="79"/>
        <v>45900</v>
      </c>
      <c r="AL182" s="8">
        <f t="shared" si="79"/>
        <v>45930</v>
      </c>
      <c r="AM182" s="8">
        <f t="shared" si="79"/>
        <v>45961</v>
      </c>
      <c r="AN182" s="8">
        <f t="shared" si="79"/>
        <v>45991</v>
      </c>
      <c r="AO182" s="8">
        <f t="shared" si="79"/>
        <v>46022</v>
      </c>
      <c r="AP182" s="8">
        <f t="shared" si="79"/>
        <v>46053</v>
      </c>
      <c r="AQ182" s="8">
        <f t="shared" si="79"/>
        <v>46081</v>
      </c>
      <c r="AR182" s="8">
        <f t="shared" si="79"/>
        <v>46112</v>
      </c>
      <c r="AS182" s="8">
        <f t="shared" si="79"/>
        <v>46142</v>
      </c>
      <c r="AT182" s="8">
        <f t="shared" si="79"/>
        <v>46173</v>
      </c>
      <c r="AU182" s="8">
        <f t="shared" si="79"/>
        <v>46203</v>
      </c>
      <c r="AV182" s="8">
        <f t="shared" si="79"/>
        <v>46234</v>
      </c>
      <c r="AW182" s="8">
        <f t="shared" si="79"/>
        <v>46265</v>
      </c>
      <c r="AX182" s="8">
        <f t="shared" si="79"/>
        <v>46295</v>
      </c>
      <c r="AY182" s="8">
        <f t="shared" si="79"/>
        <v>46326</v>
      </c>
      <c r="AZ182" s="8">
        <f t="shared" si="79"/>
        <v>46356</v>
      </c>
      <c r="BA182" s="8">
        <f t="shared" si="79"/>
        <v>46387</v>
      </c>
      <c r="BB182" s="8">
        <f t="shared" si="79"/>
        <v>46418</v>
      </c>
      <c r="BC182" s="8">
        <f t="shared" si="79"/>
        <v>46446</v>
      </c>
      <c r="BD182" s="8">
        <f t="shared" si="79"/>
        <v>46477</v>
      </c>
      <c r="BE182" s="8">
        <f t="shared" si="79"/>
        <v>46507</v>
      </c>
      <c r="BF182" s="8">
        <f t="shared" si="79"/>
        <v>46538</v>
      </c>
      <c r="BG182" s="8">
        <f t="shared" si="79"/>
        <v>46568</v>
      </c>
      <c r="BH182" s="8">
        <f t="shared" si="79"/>
        <v>46599</v>
      </c>
      <c r="BI182" s="8">
        <f t="shared" si="79"/>
        <v>46630</v>
      </c>
      <c r="BJ182" s="8">
        <f t="shared" si="79"/>
        <v>46660</v>
      </c>
      <c r="BK182" s="8">
        <f t="shared" si="79"/>
        <v>46691</v>
      </c>
      <c r="BL182" s="8">
        <f t="shared" si="79"/>
        <v>46721</v>
      </c>
      <c r="BM182" s="8">
        <f t="shared" si="79"/>
        <v>46752</v>
      </c>
      <c r="BN182" s="8">
        <f t="shared" si="79"/>
        <v>46783</v>
      </c>
      <c r="BO182" s="8">
        <f t="shared" si="79"/>
        <v>46812</v>
      </c>
      <c r="BP182" s="8">
        <f t="shared" si="79"/>
        <v>46843</v>
      </c>
      <c r="BQ182" s="8">
        <f t="shared" si="79"/>
        <v>46873</v>
      </c>
    </row>
    <row r="183" spans="1:69" outlineLevel="2">
      <c r="E183" s="8" t="str">
        <f t="shared" ref="E183:BQ183" si="80" xml:space="preserve">  E$12</f>
        <v>Model period start</v>
      </c>
      <c r="F183" s="8">
        <f t="shared" si="80"/>
        <v>0</v>
      </c>
      <c r="G183" s="8" t="str">
        <f t="shared" si="80"/>
        <v>date</v>
      </c>
      <c r="H183" s="8">
        <f t="shared" si="80"/>
        <v>0</v>
      </c>
      <c r="I183" s="8">
        <f t="shared" si="80"/>
        <v>0</v>
      </c>
      <c r="J183" s="8">
        <f t="shared" si="80"/>
        <v>45047</v>
      </c>
      <c r="K183" s="8">
        <f t="shared" si="80"/>
        <v>45078</v>
      </c>
      <c r="L183" s="8">
        <f t="shared" si="80"/>
        <v>45108</v>
      </c>
      <c r="M183" s="8">
        <f t="shared" si="80"/>
        <v>45139</v>
      </c>
      <c r="N183" s="8">
        <f t="shared" si="80"/>
        <v>45170</v>
      </c>
      <c r="O183" s="8">
        <f t="shared" si="80"/>
        <v>45200</v>
      </c>
      <c r="P183" s="8">
        <f t="shared" si="80"/>
        <v>45231</v>
      </c>
      <c r="Q183" s="8">
        <f t="shared" si="80"/>
        <v>45261</v>
      </c>
      <c r="R183" s="8">
        <f t="shared" si="80"/>
        <v>45292</v>
      </c>
      <c r="S183" s="8">
        <f t="shared" si="80"/>
        <v>45323</v>
      </c>
      <c r="T183" s="8">
        <f t="shared" si="80"/>
        <v>45352</v>
      </c>
      <c r="U183" s="8">
        <f t="shared" si="80"/>
        <v>45383</v>
      </c>
      <c r="V183" s="8">
        <f t="shared" si="80"/>
        <v>45413</v>
      </c>
      <c r="W183" s="8">
        <f t="shared" si="80"/>
        <v>45444</v>
      </c>
      <c r="X183" s="8">
        <f t="shared" si="80"/>
        <v>45474</v>
      </c>
      <c r="Y183" s="8">
        <f t="shared" si="80"/>
        <v>45505</v>
      </c>
      <c r="Z183" s="8">
        <f t="shared" si="80"/>
        <v>45536</v>
      </c>
      <c r="AA183" s="8">
        <f t="shared" si="80"/>
        <v>45566</v>
      </c>
      <c r="AB183" s="8">
        <f t="shared" si="80"/>
        <v>45597</v>
      </c>
      <c r="AC183" s="8">
        <f t="shared" si="80"/>
        <v>45627</v>
      </c>
      <c r="AD183" s="8">
        <f t="shared" si="80"/>
        <v>45658</v>
      </c>
      <c r="AE183" s="8">
        <f t="shared" si="80"/>
        <v>45689</v>
      </c>
      <c r="AF183" s="8">
        <f t="shared" si="80"/>
        <v>45717</v>
      </c>
      <c r="AG183" s="8">
        <f t="shared" si="80"/>
        <v>45748</v>
      </c>
      <c r="AH183" s="8">
        <f t="shared" si="80"/>
        <v>45778</v>
      </c>
      <c r="AI183" s="8">
        <f t="shared" si="80"/>
        <v>45809</v>
      </c>
      <c r="AJ183" s="8">
        <f t="shared" si="80"/>
        <v>45839</v>
      </c>
      <c r="AK183" s="8">
        <f t="shared" si="80"/>
        <v>45870</v>
      </c>
      <c r="AL183" s="8">
        <f t="shared" si="80"/>
        <v>45901</v>
      </c>
      <c r="AM183" s="8">
        <f t="shared" si="80"/>
        <v>45931</v>
      </c>
      <c r="AN183" s="8">
        <f t="shared" si="80"/>
        <v>45962</v>
      </c>
      <c r="AO183" s="8">
        <f t="shared" si="80"/>
        <v>45992</v>
      </c>
      <c r="AP183" s="8">
        <f t="shared" si="80"/>
        <v>46023</v>
      </c>
      <c r="AQ183" s="8">
        <f t="shared" si="80"/>
        <v>46054</v>
      </c>
      <c r="AR183" s="8">
        <f t="shared" si="80"/>
        <v>46082</v>
      </c>
      <c r="AS183" s="8">
        <f t="shared" si="80"/>
        <v>46113</v>
      </c>
      <c r="AT183" s="8">
        <f t="shared" si="80"/>
        <v>46143</v>
      </c>
      <c r="AU183" s="8">
        <f t="shared" si="80"/>
        <v>46174</v>
      </c>
      <c r="AV183" s="8">
        <f t="shared" si="80"/>
        <v>46204</v>
      </c>
      <c r="AW183" s="8">
        <f t="shared" si="80"/>
        <v>46235</v>
      </c>
      <c r="AX183" s="8">
        <f t="shared" si="80"/>
        <v>46266</v>
      </c>
      <c r="AY183" s="8">
        <f t="shared" si="80"/>
        <v>46296</v>
      </c>
      <c r="AZ183" s="8">
        <f t="shared" si="80"/>
        <v>46327</v>
      </c>
      <c r="BA183" s="8">
        <f t="shared" si="80"/>
        <v>46357</v>
      </c>
      <c r="BB183" s="8">
        <f t="shared" si="80"/>
        <v>46388</v>
      </c>
      <c r="BC183" s="8">
        <f t="shared" si="80"/>
        <v>46419</v>
      </c>
      <c r="BD183" s="8">
        <f t="shared" si="80"/>
        <v>46447</v>
      </c>
      <c r="BE183" s="8">
        <f t="shared" si="80"/>
        <v>46478</v>
      </c>
      <c r="BF183" s="8">
        <f t="shared" si="80"/>
        <v>46508</v>
      </c>
      <c r="BG183" s="8">
        <f t="shared" si="80"/>
        <v>46539</v>
      </c>
      <c r="BH183" s="8">
        <f t="shared" si="80"/>
        <v>46569</v>
      </c>
      <c r="BI183" s="8">
        <f t="shared" si="80"/>
        <v>46600</v>
      </c>
      <c r="BJ183" s="8">
        <f t="shared" si="80"/>
        <v>46631</v>
      </c>
      <c r="BK183" s="8">
        <f t="shared" si="80"/>
        <v>46661</v>
      </c>
      <c r="BL183" s="8">
        <f t="shared" si="80"/>
        <v>46692</v>
      </c>
      <c r="BM183" s="8">
        <f t="shared" si="80"/>
        <v>46722</v>
      </c>
      <c r="BN183" s="8">
        <f t="shared" si="80"/>
        <v>46753</v>
      </c>
      <c r="BO183" s="8">
        <f t="shared" si="80"/>
        <v>46784</v>
      </c>
      <c r="BP183" s="8">
        <f t="shared" si="80"/>
        <v>46813</v>
      </c>
      <c r="BQ183" s="8">
        <f t="shared" si="80"/>
        <v>46844</v>
      </c>
    </row>
    <row r="184" spans="1:69" outlineLevel="2">
      <c r="E184" s="47" t="s">
        <v>299</v>
      </c>
      <c r="G184" s="47" t="s">
        <v>20</v>
      </c>
      <c r="H184" s="2">
        <f xml:space="preserve"> SUM( J184:BQ184 )</f>
        <v>1</v>
      </c>
      <c r="J184" s="2">
        <f t="shared" ref="J184:BQ184" si="81" xml:space="preserve">  IF( AND( J182 &gt;= $F181, J183 &lt;= $F181 ), 1, 0 )</f>
        <v>1</v>
      </c>
      <c r="K184" s="2">
        <f t="shared" si="81"/>
        <v>0</v>
      </c>
      <c r="L184" s="2">
        <f t="shared" si="81"/>
        <v>0</v>
      </c>
      <c r="M184" s="2">
        <f t="shared" si="81"/>
        <v>0</v>
      </c>
      <c r="N184" s="2">
        <f t="shared" si="81"/>
        <v>0</v>
      </c>
      <c r="O184" s="2">
        <f t="shared" si="81"/>
        <v>0</v>
      </c>
      <c r="P184" s="2">
        <f t="shared" si="81"/>
        <v>0</v>
      </c>
      <c r="Q184" s="2">
        <f t="shared" si="81"/>
        <v>0</v>
      </c>
      <c r="R184" s="2">
        <f t="shared" si="81"/>
        <v>0</v>
      </c>
      <c r="S184" s="2">
        <f t="shared" si="81"/>
        <v>0</v>
      </c>
      <c r="T184" s="2">
        <f t="shared" si="81"/>
        <v>0</v>
      </c>
      <c r="U184" s="2">
        <f t="shared" si="81"/>
        <v>0</v>
      </c>
      <c r="V184" s="2">
        <f t="shared" si="81"/>
        <v>0</v>
      </c>
      <c r="W184" s="2">
        <f t="shared" si="81"/>
        <v>0</v>
      </c>
      <c r="X184" s="2">
        <f t="shared" si="81"/>
        <v>0</v>
      </c>
      <c r="Y184" s="2">
        <f t="shared" si="81"/>
        <v>0</v>
      </c>
      <c r="Z184" s="2">
        <f t="shared" si="81"/>
        <v>0</v>
      </c>
      <c r="AA184" s="2">
        <f t="shared" si="81"/>
        <v>0</v>
      </c>
      <c r="AB184" s="2">
        <f t="shared" si="81"/>
        <v>0</v>
      </c>
      <c r="AC184" s="2">
        <f t="shared" si="81"/>
        <v>0</v>
      </c>
      <c r="AD184" s="2">
        <f t="shared" si="81"/>
        <v>0</v>
      </c>
      <c r="AE184" s="2">
        <f t="shared" si="81"/>
        <v>0</v>
      </c>
      <c r="AF184" s="2">
        <f t="shared" si="81"/>
        <v>0</v>
      </c>
      <c r="AG184" s="2">
        <f t="shared" si="81"/>
        <v>0</v>
      </c>
      <c r="AH184" s="2">
        <f t="shared" si="81"/>
        <v>0</v>
      </c>
      <c r="AI184" s="2">
        <f t="shared" si="81"/>
        <v>0</v>
      </c>
      <c r="AJ184" s="2">
        <f t="shared" si="81"/>
        <v>0</v>
      </c>
      <c r="AK184" s="2">
        <f t="shared" si="81"/>
        <v>0</v>
      </c>
      <c r="AL184" s="2">
        <f t="shared" si="81"/>
        <v>0</v>
      </c>
      <c r="AM184" s="2">
        <f t="shared" si="81"/>
        <v>0</v>
      </c>
      <c r="AN184" s="2">
        <f t="shared" si="81"/>
        <v>0</v>
      </c>
      <c r="AO184" s="2">
        <f t="shared" si="81"/>
        <v>0</v>
      </c>
      <c r="AP184" s="2">
        <f t="shared" si="81"/>
        <v>0</v>
      </c>
      <c r="AQ184" s="2">
        <f t="shared" si="81"/>
        <v>0</v>
      </c>
      <c r="AR184" s="2">
        <f t="shared" si="81"/>
        <v>0</v>
      </c>
      <c r="AS184" s="2">
        <f t="shared" si="81"/>
        <v>0</v>
      </c>
      <c r="AT184" s="2">
        <f t="shared" si="81"/>
        <v>0</v>
      </c>
      <c r="AU184" s="2">
        <f t="shared" si="81"/>
        <v>0</v>
      </c>
      <c r="AV184" s="2">
        <f t="shared" si="81"/>
        <v>0</v>
      </c>
      <c r="AW184" s="2">
        <f t="shared" si="81"/>
        <v>0</v>
      </c>
      <c r="AX184" s="2">
        <f t="shared" si="81"/>
        <v>0</v>
      </c>
      <c r="AY184" s="2">
        <f t="shared" si="81"/>
        <v>0</v>
      </c>
      <c r="AZ184" s="2">
        <f t="shared" si="81"/>
        <v>0</v>
      </c>
      <c r="BA184" s="2">
        <f t="shared" si="81"/>
        <v>0</v>
      </c>
      <c r="BB184" s="2">
        <f t="shared" si="81"/>
        <v>0</v>
      </c>
      <c r="BC184" s="2">
        <f t="shared" si="81"/>
        <v>0</v>
      </c>
      <c r="BD184" s="2">
        <f t="shared" si="81"/>
        <v>0</v>
      </c>
      <c r="BE184" s="2">
        <f t="shared" si="81"/>
        <v>0</v>
      </c>
      <c r="BF184" s="2">
        <f t="shared" si="81"/>
        <v>0</v>
      </c>
      <c r="BG184" s="2">
        <f t="shared" si="81"/>
        <v>0</v>
      </c>
      <c r="BH184" s="2">
        <f t="shared" si="81"/>
        <v>0</v>
      </c>
      <c r="BI184" s="2">
        <f t="shared" si="81"/>
        <v>0</v>
      </c>
      <c r="BJ184" s="2">
        <f t="shared" si="81"/>
        <v>0</v>
      </c>
      <c r="BK184" s="2">
        <f t="shared" si="81"/>
        <v>0</v>
      </c>
      <c r="BL184" s="2">
        <f t="shared" si="81"/>
        <v>0</v>
      </c>
      <c r="BM184" s="2">
        <f t="shared" si="81"/>
        <v>0</v>
      </c>
      <c r="BN184" s="2">
        <f t="shared" si="81"/>
        <v>0</v>
      </c>
      <c r="BO184" s="2">
        <f t="shared" si="81"/>
        <v>0</v>
      </c>
      <c r="BP184" s="2">
        <f t="shared" si="81"/>
        <v>0</v>
      </c>
      <c r="BQ184" s="2">
        <f t="shared" si="81"/>
        <v>0</v>
      </c>
    </row>
    <row r="185" spans="1:69" outlineLevel="1"/>
    <row r="186" spans="1:69" outlineLevel="1"/>
    <row r="187" spans="1:69" outlineLevel="1">
      <c r="B187" s="25" t="s">
        <v>283</v>
      </c>
    </row>
    <row r="188" spans="1:69" outlineLevel="2">
      <c r="E188" s="5" t="str">
        <f t="shared" ref="E188:BQ188" si="82" xml:space="preserve">  E$28</f>
        <v>Period number</v>
      </c>
      <c r="F188" s="5">
        <f t="shared" si="82"/>
        <v>0</v>
      </c>
      <c r="G188" s="5" t="str">
        <f t="shared" si="82"/>
        <v>Counter</v>
      </c>
      <c r="H188" s="5">
        <f t="shared" si="82"/>
        <v>0</v>
      </c>
      <c r="I188" s="5">
        <f t="shared" si="82"/>
        <v>0</v>
      </c>
      <c r="J188" s="5">
        <f t="shared" si="82"/>
        <v>1</v>
      </c>
      <c r="K188" s="5">
        <f t="shared" si="82"/>
        <v>2</v>
      </c>
      <c r="L188" s="5">
        <f t="shared" si="82"/>
        <v>3</v>
      </c>
      <c r="M188" s="5">
        <f t="shared" si="82"/>
        <v>4</v>
      </c>
      <c r="N188" s="5">
        <f t="shared" si="82"/>
        <v>5</v>
      </c>
      <c r="O188" s="5">
        <f t="shared" si="82"/>
        <v>6</v>
      </c>
      <c r="P188" s="5">
        <f t="shared" si="82"/>
        <v>7</v>
      </c>
      <c r="Q188" s="5">
        <f t="shared" si="82"/>
        <v>8</v>
      </c>
      <c r="R188" s="5">
        <f t="shared" si="82"/>
        <v>9</v>
      </c>
      <c r="S188" s="5">
        <f t="shared" si="82"/>
        <v>10</v>
      </c>
      <c r="T188" s="5">
        <f t="shared" si="82"/>
        <v>11</v>
      </c>
      <c r="U188" s="5">
        <f t="shared" si="82"/>
        <v>12</v>
      </c>
      <c r="V188" s="5">
        <f t="shared" si="82"/>
        <v>13</v>
      </c>
      <c r="W188" s="5">
        <f t="shared" si="82"/>
        <v>14</v>
      </c>
      <c r="X188" s="5">
        <f t="shared" si="82"/>
        <v>15</v>
      </c>
      <c r="Y188" s="5">
        <f t="shared" si="82"/>
        <v>16</v>
      </c>
      <c r="Z188" s="5">
        <f t="shared" si="82"/>
        <v>17</v>
      </c>
      <c r="AA188" s="5">
        <f t="shared" si="82"/>
        <v>18</v>
      </c>
      <c r="AB188" s="5">
        <f t="shared" si="82"/>
        <v>19</v>
      </c>
      <c r="AC188" s="5">
        <f t="shared" si="82"/>
        <v>20</v>
      </c>
      <c r="AD188" s="5">
        <f t="shared" si="82"/>
        <v>21</v>
      </c>
      <c r="AE188" s="5">
        <f t="shared" si="82"/>
        <v>22</v>
      </c>
      <c r="AF188" s="5">
        <f t="shared" si="82"/>
        <v>23</v>
      </c>
      <c r="AG188" s="5">
        <f t="shared" si="82"/>
        <v>24</v>
      </c>
      <c r="AH188" s="5">
        <f t="shared" si="82"/>
        <v>25</v>
      </c>
      <c r="AI188" s="5">
        <f t="shared" si="82"/>
        <v>26</v>
      </c>
      <c r="AJ188" s="5">
        <f t="shared" si="82"/>
        <v>27</v>
      </c>
      <c r="AK188" s="5">
        <f t="shared" si="82"/>
        <v>28</v>
      </c>
      <c r="AL188" s="5">
        <f t="shared" si="82"/>
        <v>29</v>
      </c>
      <c r="AM188" s="5">
        <f t="shared" si="82"/>
        <v>30</v>
      </c>
      <c r="AN188" s="5">
        <f t="shared" si="82"/>
        <v>31</v>
      </c>
      <c r="AO188" s="5">
        <f t="shared" si="82"/>
        <v>32</v>
      </c>
      <c r="AP188" s="5">
        <f t="shared" si="82"/>
        <v>33</v>
      </c>
      <c r="AQ188" s="5">
        <f t="shared" si="82"/>
        <v>34</v>
      </c>
      <c r="AR188" s="5">
        <f t="shared" si="82"/>
        <v>35</v>
      </c>
      <c r="AS188" s="5">
        <f t="shared" si="82"/>
        <v>36</v>
      </c>
      <c r="AT188" s="5">
        <f t="shared" si="82"/>
        <v>37</v>
      </c>
      <c r="AU188" s="5">
        <f t="shared" si="82"/>
        <v>38</v>
      </c>
      <c r="AV188" s="5">
        <f t="shared" si="82"/>
        <v>39</v>
      </c>
      <c r="AW188" s="5">
        <f t="shared" si="82"/>
        <v>40</v>
      </c>
      <c r="AX188" s="5">
        <f t="shared" si="82"/>
        <v>41</v>
      </c>
      <c r="AY188" s="5">
        <f t="shared" si="82"/>
        <v>42</v>
      </c>
      <c r="AZ188" s="5">
        <f t="shared" si="82"/>
        <v>43</v>
      </c>
      <c r="BA188" s="5">
        <f t="shared" si="82"/>
        <v>44</v>
      </c>
      <c r="BB188" s="5">
        <f t="shared" si="82"/>
        <v>45</v>
      </c>
      <c r="BC188" s="5">
        <f t="shared" si="82"/>
        <v>46</v>
      </c>
      <c r="BD188" s="5">
        <f t="shared" si="82"/>
        <v>47</v>
      </c>
      <c r="BE188" s="5">
        <f t="shared" si="82"/>
        <v>48</v>
      </c>
      <c r="BF188" s="5">
        <f t="shared" si="82"/>
        <v>49</v>
      </c>
      <c r="BG188" s="5">
        <f t="shared" si="82"/>
        <v>50</v>
      </c>
      <c r="BH188" s="5">
        <f t="shared" si="82"/>
        <v>51</v>
      </c>
      <c r="BI188" s="5">
        <f t="shared" si="82"/>
        <v>52</v>
      </c>
      <c r="BJ188" s="5">
        <f t="shared" si="82"/>
        <v>53</v>
      </c>
      <c r="BK188" s="5">
        <f t="shared" si="82"/>
        <v>54</v>
      </c>
      <c r="BL188" s="5">
        <f t="shared" si="82"/>
        <v>55</v>
      </c>
      <c r="BM188" s="5">
        <f t="shared" si="82"/>
        <v>56</v>
      </c>
      <c r="BN188" s="5">
        <f t="shared" si="82"/>
        <v>57</v>
      </c>
      <c r="BO188" s="5">
        <f t="shared" si="82"/>
        <v>58</v>
      </c>
      <c r="BP188" s="5">
        <f t="shared" si="82"/>
        <v>59</v>
      </c>
      <c r="BQ188" s="5">
        <f t="shared" si="82"/>
        <v>60</v>
      </c>
    </row>
    <row r="189" spans="1:69" outlineLevel="2">
      <c r="E189" s="2" t="str">
        <f t="shared" ref="E189:BQ189" si="83" xml:space="preserve">  E$184</f>
        <v>First Fixed Operating Cost Growth Rate escalation flag</v>
      </c>
      <c r="F189" s="2">
        <f t="shared" si="83"/>
        <v>0</v>
      </c>
      <c r="G189" s="2" t="str">
        <f t="shared" si="83"/>
        <v>flag</v>
      </c>
      <c r="H189" s="2">
        <f t="shared" si="83"/>
        <v>1</v>
      </c>
      <c r="I189" s="2">
        <f t="shared" si="83"/>
        <v>0</v>
      </c>
      <c r="J189" s="2">
        <f t="shared" si="83"/>
        <v>1</v>
      </c>
      <c r="K189" s="2">
        <f t="shared" si="83"/>
        <v>0</v>
      </c>
      <c r="L189" s="2">
        <f t="shared" si="83"/>
        <v>0</v>
      </c>
      <c r="M189" s="2">
        <f t="shared" si="83"/>
        <v>0</v>
      </c>
      <c r="N189" s="2">
        <f t="shared" si="83"/>
        <v>0</v>
      </c>
      <c r="O189" s="2">
        <f t="shared" si="83"/>
        <v>0</v>
      </c>
      <c r="P189" s="2">
        <f t="shared" si="83"/>
        <v>0</v>
      </c>
      <c r="Q189" s="2">
        <f t="shared" si="83"/>
        <v>0</v>
      </c>
      <c r="R189" s="2">
        <f t="shared" si="83"/>
        <v>0</v>
      </c>
      <c r="S189" s="2">
        <f t="shared" si="83"/>
        <v>0</v>
      </c>
      <c r="T189" s="2">
        <f t="shared" si="83"/>
        <v>0</v>
      </c>
      <c r="U189" s="2">
        <f t="shared" si="83"/>
        <v>0</v>
      </c>
      <c r="V189" s="2">
        <f t="shared" si="83"/>
        <v>0</v>
      </c>
      <c r="W189" s="2">
        <f t="shared" si="83"/>
        <v>0</v>
      </c>
      <c r="X189" s="2">
        <f t="shared" si="83"/>
        <v>0</v>
      </c>
      <c r="Y189" s="2">
        <f t="shared" si="83"/>
        <v>0</v>
      </c>
      <c r="Z189" s="2">
        <f t="shared" si="83"/>
        <v>0</v>
      </c>
      <c r="AA189" s="2">
        <f t="shared" si="83"/>
        <v>0</v>
      </c>
      <c r="AB189" s="2">
        <f t="shared" si="83"/>
        <v>0</v>
      </c>
      <c r="AC189" s="2">
        <f t="shared" si="83"/>
        <v>0</v>
      </c>
      <c r="AD189" s="2">
        <f t="shared" si="83"/>
        <v>0</v>
      </c>
      <c r="AE189" s="2">
        <f t="shared" si="83"/>
        <v>0</v>
      </c>
      <c r="AF189" s="2">
        <f t="shared" si="83"/>
        <v>0</v>
      </c>
      <c r="AG189" s="2">
        <f t="shared" si="83"/>
        <v>0</v>
      </c>
      <c r="AH189" s="2">
        <f t="shared" si="83"/>
        <v>0</v>
      </c>
      <c r="AI189" s="2">
        <f t="shared" si="83"/>
        <v>0</v>
      </c>
      <c r="AJ189" s="2">
        <f t="shared" si="83"/>
        <v>0</v>
      </c>
      <c r="AK189" s="2">
        <f t="shared" si="83"/>
        <v>0</v>
      </c>
      <c r="AL189" s="2">
        <f t="shared" si="83"/>
        <v>0</v>
      </c>
      <c r="AM189" s="2">
        <f t="shared" si="83"/>
        <v>0</v>
      </c>
      <c r="AN189" s="2">
        <f t="shared" si="83"/>
        <v>0</v>
      </c>
      <c r="AO189" s="2">
        <f t="shared" si="83"/>
        <v>0</v>
      </c>
      <c r="AP189" s="2">
        <f t="shared" si="83"/>
        <v>0</v>
      </c>
      <c r="AQ189" s="2">
        <f t="shared" si="83"/>
        <v>0</v>
      </c>
      <c r="AR189" s="2">
        <f t="shared" si="83"/>
        <v>0</v>
      </c>
      <c r="AS189" s="2">
        <f t="shared" si="83"/>
        <v>0</v>
      </c>
      <c r="AT189" s="2">
        <f t="shared" si="83"/>
        <v>0</v>
      </c>
      <c r="AU189" s="2">
        <f t="shared" si="83"/>
        <v>0</v>
      </c>
      <c r="AV189" s="2">
        <f t="shared" si="83"/>
        <v>0</v>
      </c>
      <c r="AW189" s="2">
        <f t="shared" si="83"/>
        <v>0</v>
      </c>
      <c r="AX189" s="2">
        <f t="shared" si="83"/>
        <v>0</v>
      </c>
      <c r="AY189" s="2">
        <f t="shared" si="83"/>
        <v>0</v>
      </c>
      <c r="AZ189" s="2">
        <f t="shared" si="83"/>
        <v>0</v>
      </c>
      <c r="BA189" s="2">
        <f t="shared" si="83"/>
        <v>0</v>
      </c>
      <c r="BB189" s="2">
        <f t="shared" si="83"/>
        <v>0</v>
      </c>
      <c r="BC189" s="2">
        <f t="shared" si="83"/>
        <v>0</v>
      </c>
      <c r="BD189" s="2">
        <f t="shared" si="83"/>
        <v>0</v>
      </c>
      <c r="BE189" s="2">
        <f t="shared" si="83"/>
        <v>0</v>
      </c>
      <c r="BF189" s="2">
        <f t="shared" si="83"/>
        <v>0</v>
      </c>
      <c r="BG189" s="2">
        <f t="shared" si="83"/>
        <v>0</v>
      </c>
      <c r="BH189" s="2">
        <f t="shared" si="83"/>
        <v>0</v>
      </c>
      <c r="BI189" s="2">
        <f t="shared" si="83"/>
        <v>0</v>
      </c>
      <c r="BJ189" s="2">
        <f t="shared" si="83"/>
        <v>0</v>
      </c>
      <c r="BK189" s="2">
        <f t="shared" si="83"/>
        <v>0</v>
      </c>
      <c r="BL189" s="2">
        <f t="shared" si="83"/>
        <v>0</v>
      </c>
      <c r="BM189" s="2">
        <f t="shared" si="83"/>
        <v>0</v>
      </c>
      <c r="BN189" s="2">
        <f t="shared" si="83"/>
        <v>0</v>
      </c>
      <c r="BO189" s="2">
        <f t="shared" si="83"/>
        <v>0</v>
      </c>
      <c r="BP189" s="2">
        <f t="shared" si="83"/>
        <v>0</v>
      </c>
      <c r="BQ189" s="2">
        <f t="shared" si="83"/>
        <v>0</v>
      </c>
    </row>
    <row r="190" spans="1:69" outlineLevel="2">
      <c r="E190" s="47" t="s">
        <v>283</v>
      </c>
      <c r="H190" s="2">
        <f xml:space="preserve"> SUM( J190:BQ190 )</f>
        <v>1</v>
      </c>
      <c r="J190" s="2">
        <f t="shared" ref="J190:BQ190" si="84" xml:space="preserve">  J188 * J189</f>
        <v>1</v>
      </c>
      <c r="K190" s="2">
        <f t="shared" si="84"/>
        <v>0</v>
      </c>
      <c r="L190" s="2">
        <f t="shared" si="84"/>
        <v>0</v>
      </c>
      <c r="M190" s="2">
        <f t="shared" si="84"/>
        <v>0</v>
      </c>
      <c r="N190" s="2">
        <f t="shared" si="84"/>
        <v>0</v>
      </c>
      <c r="O190" s="2">
        <f t="shared" si="84"/>
        <v>0</v>
      </c>
      <c r="P190" s="2">
        <f t="shared" si="84"/>
        <v>0</v>
      </c>
      <c r="Q190" s="2">
        <f t="shared" si="84"/>
        <v>0</v>
      </c>
      <c r="R190" s="2">
        <f t="shared" si="84"/>
        <v>0</v>
      </c>
      <c r="S190" s="2">
        <f t="shared" si="84"/>
        <v>0</v>
      </c>
      <c r="T190" s="2">
        <f t="shared" si="84"/>
        <v>0</v>
      </c>
      <c r="U190" s="2">
        <f t="shared" si="84"/>
        <v>0</v>
      </c>
      <c r="V190" s="2">
        <f t="shared" si="84"/>
        <v>0</v>
      </c>
      <c r="W190" s="2">
        <f t="shared" si="84"/>
        <v>0</v>
      </c>
      <c r="X190" s="2">
        <f t="shared" si="84"/>
        <v>0</v>
      </c>
      <c r="Y190" s="2">
        <f t="shared" si="84"/>
        <v>0</v>
      </c>
      <c r="Z190" s="2">
        <f t="shared" si="84"/>
        <v>0</v>
      </c>
      <c r="AA190" s="2">
        <f t="shared" si="84"/>
        <v>0</v>
      </c>
      <c r="AB190" s="2">
        <f t="shared" si="84"/>
        <v>0</v>
      </c>
      <c r="AC190" s="2">
        <f t="shared" si="84"/>
        <v>0</v>
      </c>
      <c r="AD190" s="2">
        <f t="shared" si="84"/>
        <v>0</v>
      </c>
      <c r="AE190" s="2">
        <f t="shared" si="84"/>
        <v>0</v>
      </c>
      <c r="AF190" s="2">
        <f t="shared" si="84"/>
        <v>0</v>
      </c>
      <c r="AG190" s="2">
        <f t="shared" si="84"/>
        <v>0</v>
      </c>
      <c r="AH190" s="2">
        <f t="shared" si="84"/>
        <v>0</v>
      </c>
      <c r="AI190" s="2">
        <f t="shared" si="84"/>
        <v>0</v>
      </c>
      <c r="AJ190" s="2">
        <f t="shared" si="84"/>
        <v>0</v>
      </c>
      <c r="AK190" s="2">
        <f t="shared" si="84"/>
        <v>0</v>
      </c>
      <c r="AL190" s="2">
        <f t="shared" si="84"/>
        <v>0</v>
      </c>
      <c r="AM190" s="2">
        <f t="shared" si="84"/>
        <v>0</v>
      </c>
      <c r="AN190" s="2">
        <f t="shared" si="84"/>
        <v>0</v>
      </c>
      <c r="AO190" s="2">
        <f t="shared" si="84"/>
        <v>0</v>
      </c>
      <c r="AP190" s="2">
        <f t="shared" si="84"/>
        <v>0</v>
      </c>
      <c r="AQ190" s="2">
        <f t="shared" si="84"/>
        <v>0</v>
      </c>
      <c r="AR190" s="2">
        <f t="shared" si="84"/>
        <v>0</v>
      </c>
      <c r="AS190" s="2">
        <f t="shared" si="84"/>
        <v>0</v>
      </c>
      <c r="AT190" s="2">
        <f t="shared" si="84"/>
        <v>0</v>
      </c>
      <c r="AU190" s="2">
        <f t="shared" si="84"/>
        <v>0</v>
      </c>
      <c r="AV190" s="2">
        <f t="shared" si="84"/>
        <v>0</v>
      </c>
      <c r="AW190" s="2">
        <f t="shared" si="84"/>
        <v>0</v>
      </c>
      <c r="AX190" s="2">
        <f t="shared" si="84"/>
        <v>0</v>
      </c>
      <c r="AY190" s="2">
        <f t="shared" si="84"/>
        <v>0</v>
      </c>
      <c r="AZ190" s="2">
        <f t="shared" si="84"/>
        <v>0</v>
      </c>
      <c r="BA190" s="2">
        <f t="shared" si="84"/>
        <v>0</v>
      </c>
      <c r="BB190" s="2">
        <f t="shared" si="84"/>
        <v>0</v>
      </c>
      <c r="BC190" s="2">
        <f t="shared" si="84"/>
        <v>0</v>
      </c>
      <c r="BD190" s="2">
        <f t="shared" si="84"/>
        <v>0</v>
      </c>
      <c r="BE190" s="2">
        <f t="shared" si="84"/>
        <v>0</v>
      </c>
      <c r="BF190" s="2">
        <f t="shared" si="84"/>
        <v>0</v>
      </c>
      <c r="BG190" s="2">
        <f t="shared" si="84"/>
        <v>0</v>
      </c>
      <c r="BH190" s="2">
        <f t="shared" si="84"/>
        <v>0</v>
      </c>
      <c r="BI190" s="2">
        <f t="shared" si="84"/>
        <v>0</v>
      </c>
      <c r="BJ190" s="2">
        <f t="shared" si="84"/>
        <v>0</v>
      </c>
      <c r="BK190" s="2">
        <f t="shared" si="84"/>
        <v>0</v>
      </c>
      <c r="BL190" s="2">
        <f t="shared" si="84"/>
        <v>0</v>
      </c>
      <c r="BM190" s="2">
        <f t="shared" si="84"/>
        <v>0</v>
      </c>
      <c r="BN190" s="2">
        <f t="shared" si="84"/>
        <v>0</v>
      </c>
      <c r="BO190" s="2">
        <f t="shared" si="84"/>
        <v>0</v>
      </c>
      <c r="BP190" s="2">
        <f t="shared" si="84"/>
        <v>0</v>
      </c>
      <c r="BQ190" s="2">
        <f t="shared" si="84"/>
        <v>0</v>
      </c>
    </row>
    <row r="191" spans="1:69" outlineLevel="1"/>
    <row r="192" spans="1:69" outlineLevel="1"/>
    <row r="193" spans="1:69" outlineLevel="1">
      <c r="B193" s="25" t="s">
        <v>196</v>
      </c>
    </row>
    <row r="194" spans="1:69" outlineLevel="2">
      <c r="E194" s="2" t="str">
        <f t="shared" ref="E194:BQ194" si="85" xml:space="preserve">  E$190</f>
        <v>First Fixed Operating Cost Growth Rate escalation period</v>
      </c>
      <c r="F194" s="2">
        <f t="shared" si="85"/>
        <v>0</v>
      </c>
      <c r="G194" s="2">
        <f t="shared" si="85"/>
        <v>0</v>
      </c>
      <c r="H194" s="2">
        <f t="shared" si="85"/>
        <v>1</v>
      </c>
      <c r="I194" s="2">
        <f t="shared" si="85"/>
        <v>0</v>
      </c>
      <c r="J194" s="2">
        <f t="shared" si="85"/>
        <v>1</v>
      </c>
      <c r="K194" s="2">
        <f t="shared" si="85"/>
        <v>0</v>
      </c>
      <c r="L194" s="2">
        <f t="shared" si="85"/>
        <v>0</v>
      </c>
      <c r="M194" s="2">
        <f t="shared" si="85"/>
        <v>0</v>
      </c>
      <c r="N194" s="2">
        <f t="shared" si="85"/>
        <v>0</v>
      </c>
      <c r="O194" s="2">
        <f t="shared" si="85"/>
        <v>0</v>
      </c>
      <c r="P194" s="2">
        <f t="shared" si="85"/>
        <v>0</v>
      </c>
      <c r="Q194" s="2">
        <f t="shared" si="85"/>
        <v>0</v>
      </c>
      <c r="R194" s="2">
        <f t="shared" si="85"/>
        <v>0</v>
      </c>
      <c r="S194" s="2">
        <f t="shared" si="85"/>
        <v>0</v>
      </c>
      <c r="T194" s="2">
        <f t="shared" si="85"/>
        <v>0</v>
      </c>
      <c r="U194" s="2">
        <f t="shared" si="85"/>
        <v>0</v>
      </c>
      <c r="V194" s="2">
        <f t="shared" si="85"/>
        <v>0</v>
      </c>
      <c r="W194" s="2">
        <f t="shared" si="85"/>
        <v>0</v>
      </c>
      <c r="X194" s="2">
        <f t="shared" si="85"/>
        <v>0</v>
      </c>
      <c r="Y194" s="2">
        <f t="shared" si="85"/>
        <v>0</v>
      </c>
      <c r="Z194" s="2">
        <f t="shared" si="85"/>
        <v>0</v>
      </c>
      <c r="AA194" s="2">
        <f t="shared" si="85"/>
        <v>0</v>
      </c>
      <c r="AB194" s="2">
        <f t="shared" si="85"/>
        <v>0</v>
      </c>
      <c r="AC194" s="2">
        <f t="shared" si="85"/>
        <v>0</v>
      </c>
      <c r="AD194" s="2">
        <f t="shared" si="85"/>
        <v>0</v>
      </c>
      <c r="AE194" s="2">
        <f t="shared" si="85"/>
        <v>0</v>
      </c>
      <c r="AF194" s="2">
        <f t="shared" si="85"/>
        <v>0</v>
      </c>
      <c r="AG194" s="2">
        <f t="shared" si="85"/>
        <v>0</v>
      </c>
      <c r="AH194" s="2">
        <f t="shared" si="85"/>
        <v>0</v>
      </c>
      <c r="AI194" s="2">
        <f t="shared" si="85"/>
        <v>0</v>
      </c>
      <c r="AJ194" s="2">
        <f t="shared" si="85"/>
        <v>0</v>
      </c>
      <c r="AK194" s="2">
        <f t="shared" si="85"/>
        <v>0</v>
      </c>
      <c r="AL194" s="2">
        <f t="shared" si="85"/>
        <v>0</v>
      </c>
      <c r="AM194" s="2">
        <f t="shared" si="85"/>
        <v>0</v>
      </c>
      <c r="AN194" s="2">
        <f t="shared" si="85"/>
        <v>0</v>
      </c>
      <c r="AO194" s="2">
        <f t="shared" si="85"/>
        <v>0</v>
      </c>
      <c r="AP194" s="2">
        <f t="shared" si="85"/>
        <v>0</v>
      </c>
      <c r="AQ194" s="2">
        <f t="shared" si="85"/>
        <v>0</v>
      </c>
      <c r="AR194" s="2">
        <f t="shared" si="85"/>
        <v>0</v>
      </c>
      <c r="AS194" s="2">
        <f t="shared" si="85"/>
        <v>0</v>
      </c>
      <c r="AT194" s="2">
        <f t="shared" si="85"/>
        <v>0</v>
      </c>
      <c r="AU194" s="2">
        <f t="shared" si="85"/>
        <v>0</v>
      </c>
      <c r="AV194" s="2">
        <f t="shared" si="85"/>
        <v>0</v>
      </c>
      <c r="AW194" s="2">
        <f t="shared" si="85"/>
        <v>0</v>
      </c>
      <c r="AX194" s="2">
        <f t="shared" si="85"/>
        <v>0</v>
      </c>
      <c r="AY194" s="2">
        <f t="shared" si="85"/>
        <v>0</v>
      </c>
      <c r="AZ194" s="2">
        <f t="shared" si="85"/>
        <v>0</v>
      </c>
      <c r="BA194" s="2">
        <f t="shared" si="85"/>
        <v>0</v>
      </c>
      <c r="BB194" s="2">
        <f t="shared" si="85"/>
        <v>0</v>
      </c>
      <c r="BC194" s="2">
        <f t="shared" si="85"/>
        <v>0</v>
      </c>
      <c r="BD194" s="2">
        <f t="shared" si="85"/>
        <v>0</v>
      </c>
      <c r="BE194" s="2">
        <f t="shared" si="85"/>
        <v>0</v>
      </c>
      <c r="BF194" s="2">
        <f t="shared" si="85"/>
        <v>0</v>
      </c>
      <c r="BG194" s="2">
        <f t="shared" si="85"/>
        <v>0</v>
      </c>
      <c r="BH194" s="2">
        <f t="shared" si="85"/>
        <v>0</v>
      </c>
      <c r="BI194" s="2">
        <f t="shared" si="85"/>
        <v>0</v>
      </c>
      <c r="BJ194" s="2">
        <f t="shared" si="85"/>
        <v>0</v>
      </c>
      <c r="BK194" s="2">
        <f t="shared" si="85"/>
        <v>0</v>
      </c>
      <c r="BL194" s="2">
        <f t="shared" si="85"/>
        <v>0</v>
      </c>
      <c r="BM194" s="2">
        <f t="shared" si="85"/>
        <v>0</v>
      </c>
      <c r="BN194" s="2">
        <f t="shared" si="85"/>
        <v>0</v>
      </c>
      <c r="BO194" s="2">
        <f t="shared" si="85"/>
        <v>0</v>
      </c>
      <c r="BP194" s="2">
        <f t="shared" si="85"/>
        <v>0</v>
      </c>
      <c r="BQ194" s="2">
        <f t="shared" si="85"/>
        <v>0</v>
      </c>
    </row>
    <row r="195" spans="1:69" outlineLevel="2">
      <c r="E195" s="47" t="s">
        <v>196</v>
      </c>
      <c r="F195" s="2">
        <f xml:space="preserve">  SUM( $J194:$BQ194 )</f>
        <v>1</v>
      </c>
      <c r="M195" s="2"/>
    </row>
    <row r="196" spans="1:69" outlineLevel="1"/>
    <row r="197" spans="1:69" outlineLevel="1"/>
    <row r="198" spans="1:69" outlineLevel="1">
      <c r="B198" s="25" t="s">
        <v>129</v>
      </c>
    </row>
    <row r="199" spans="1:69" outlineLevel="2">
      <c r="E199" s="2" t="str">
        <f t="shared" ref="E199:G199" si="86" xml:space="preserve">  E$195</f>
        <v>Period of first Fixed Operating Cost Growth Rate escalation</v>
      </c>
      <c r="F199" s="2">
        <f t="shared" si="86"/>
        <v>1</v>
      </c>
      <c r="G199" s="2">
        <f t="shared" si="86"/>
        <v>0</v>
      </c>
      <c r="M199" s="2"/>
    </row>
    <row r="200" spans="1:69" outlineLevel="2">
      <c r="A200" s="18"/>
      <c r="B200" s="18"/>
      <c r="C200" s="28"/>
      <c r="D200" s="27"/>
      <c r="E200" s="4" t="str">
        <f xml:space="preserve">  InpC!E$27</f>
        <v>Fixed Operating Cost Growth Rate escalation frequency</v>
      </c>
      <c r="F200" s="4">
        <f xml:space="preserve">  InpC!F$27</f>
        <v>3</v>
      </c>
      <c r="G200" s="4" t="str">
        <f xml:space="preserve">  InpC!G$27</f>
        <v>Months</v>
      </c>
      <c r="M200" s="2"/>
    </row>
    <row r="201" spans="1:69" outlineLevel="2">
      <c r="A201" s="18"/>
      <c r="B201" s="18"/>
      <c r="C201" s="28"/>
      <c r="D201" s="27"/>
      <c r="E201" s="4" t="str">
        <f xml:space="preserve">  InpC!E$99</f>
        <v>Months per period (Primary)</v>
      </c>
      <c r="F201" s="4">
        <f xml:space="preserve">  InpC!F$99</f>
        <v>1</v>
      </c>
      <c r="G201" s="4" t="str">
        <f xml:space="preserve">  InpC!G$99</f>
        <v>Months</v>
      </c>
      <c r="M201" s="2"/>
    </row>
    <row r="202" spans="1:69" outlineLevel="2">
      <c r="E202" s="5" t="str">
        <f t="shared" ref="E202:BQ202" si="87" xml:space="preserve">  E$28</f>
        <v>Period number</v>
      </c>
      <c r="F202" s="5">
        <f t="shared" si="87"/>
        <v>0</v>
      </c>
      <c r="G202" s="5" t="str">
        <f t="shared" si="87"/>
        <v>Counter</v>
      </c>
      <c r="H202" s="5">
        <f t="shared" si="87"/>
        <v>0</v>
      </c>
      <c r="I202" s="5">
        <f t="shared" si="87"/>
        <v>0</v>
      </c>
      <c r="J202" s="5">
        <f t="shared" si="87"/>
        <v>1</v>
      </c>
      <c r="K202" s="5">
        <f t="shared" si="87"/>
        <v>2</v>
      </c>
      <c r="L202" s="5">
        <f t="shared" si="87"/>
        <v>3</v>
      </c>
      <c r="M202" s="5">
        <f t="shared" si="87"/>
        <v>4</v>
      </c>
      <c r="N202" s="5">
        <f t="shared" si="87"/>
        <v>5</v>
      </c>
      <c r="O202" s="5">
        <f t="shared" si="87"/>
        <v>6</v>
      </c>
      <c r="P202" s="5">
        <f t="shared" si="87"/>
        <v>7</v>
      </c>
      <c r="Q202" s="5">
        <f t="shared" si="87"/>
        <v>8</v>
      </c>
      <c r="R202" s="5">
        <f t="shared" si="87"/>
        <v>9</v>
      </c>
      <c r="S202" s="5">
        <f t="shared" si="87"/>
        <v>10</v>
      </c>
      <c r="T202" s="5">
        <f t="shared" si="87"/>
        <v>11</v>
      </c>
      <c r="U202" s="5">
        <f t="shared" si="87"/>
        <v>12</v>
      </c>
      <c r="V202" s="5">
        <f t="shared" si="87"/>
        <v>13</v>
      </c>
      <c r="W202" s="5">
        <f t="shared" si="87"/>
        <v>14</v>
      </c>
      <c r="X202" s="5">
        <f t="shared" si="87"/>
        <v>15</v>
      </c>
      <c r="Y202" s="5">
        <f t="shared" si="87"/>
        <v>16</v>
      </c>
      <c r="Z202" s="5">
        <f t="shared" si="87"/>
        <v>17</v>
      </c>
      <c r="AA202" s="5">
        <f t="shared" si="87"/>
        <v>18</v>
      </c>
      <c r="AB202" s="5">
        <f t="shared" si="87"/>
        <v>19</v>
      </c>
      <c r="AC202" s="5">
        <f t="shared" si="87"/>
        <v>20</v>
      </c>
      <c r="AD202" s="5">
        <f t="shared" si="87"/>
        <v>21</v>
      </c>
      <c r="AE202" s="5">
        <f t="shared" si="87"/>
        <v>22</v>
      </c>
      <c r="AF202" s="5">
        <f t="shared" si="87"/>
        <v>23</v>
      </c>
      <c r="AG202" s="5">
        <f t="shared" si="87"/>
        <v>24</v>
      </c>
      <c r="AH202" s="5">
        <f t="shared" si="87"/>
        <v>25</v>
      </c>
      <c r="AI202" s="5">
        <f t="shared" si="87"/>
        <v>26</v>
      </c>
      <c r="AJ202" s="5">
        <f t="shared" si="87"/>
        <v>27</v>
      </c>
      <c r="AK202" s="5">
        <f t="shared" si="87"/>
        <v>28</v>
      </c>
      <c r="AL202" s="5">
        <f t="shared" si="87"/>
        <v>29</v>
      </c>
      <c r="AM202" s="5">
        <f t="shared" si="87"/>
        <v>30</v>
      </c>
      <c r="AN202" s="5">
        <f t="shared" si="87"/>
        <v>31</v>
      </c>
      <c r="AO202" s="5">
        <f t="shared" si="87"/>
        <v>32</v>
      </c>
      <c r="AP202" s="5">
        <f t="shared" si="87"/>
        <v>33</v>
      </c>
      <c r="AQ202" s="5">
        <f t="shared" si="87"/>
        <v>34</v>
      </c>
      <c r="AR202" s="5">
        <f t="shared" si="87"/>
        <v>35</v>
      </c>
      <c r="AS202" s="5">
        <f t="shared" si="87"/>
        <v>36</v>
      </c>
      <c r="AT202" s="5">
        <f t="shared" si="87"/>
        <v>37</v>
      </c>
      <c r="AU202" s="5">
        <f t="shared" si="87"/>
        <v>38</v>
      </c>
      <c r="AV202" s="5">
        <f t="shared" si="87"/>
        <v>39</v>
      </c>
      <c r="AW202" s="5">
        <f t="shared" si="87"/>
        <v>40</v>
      </c>
      <c r="AX202" s="5">
        <f t="shared" si="87"/>
        <v>41</v>
      </c>
      <c r="AY202" s="5">
        <f t="shared" si="87"/>
        <v>42</v>
      </c>
      <c r="AZ202" s="5">
        <f t="shared" si="87"/>
        <v>43</v>
      </c>
      <c r="BA202" s="5">
        <f t="shared" si="87"/>
        <v>44</v>
      </c>
      <c r="BB202" s="5">
        <f t="shared" si="87"/>
        <v>45</v>
      </c>
      <c r="BC202" s="5">
        <f t="shared" si="87"/>
        <v>46</v>
      </c>
      <c r="BD202" s="5">
        <f t="shared" si="87"/>
        <v>47</v>
      </c>
      <c r="BE202" s="5">
        <f t="shared" si="87"/>
        <v>48</v>
      </c>
      <c r="BF202" s="5">
        <f t="shared" si="87"/>
        <v>49</v>
      </c>
      <c r="BG202" s="5">
        <f t="shared" si="87"/>
        <v>50</v>
      </c>
      <c r="BH202" s="5">
        <f t="shared" si="87"/>
        <v>51</v>
      </c>
      <c r="BI202" s="5">
        <f t="shared" si="87"/>
        <v>52</v>
      </c>
      <c r="BJ202" s="5">
        <f t="shared" si="87"/>
        <v>53</v>
      </c>
      <c r="BK202" s="5">
        <f t="shared" si="87"/>
        <v>54</v>
      </c>
      <c r="BL202" s="5">
        <f t="shared" si="87"/>
        <v>55</v>
      </c>
      <c r="BM202" s="5">
        <f t="shared" si="87"/>
        <v>56</v>
      </c>
      <c r="BN202" s="5">
        <f t="shared" si="87"/>
        <v>57</v>
      </c>
      <c r="BO202" s="5">
        <f t="shared" si="87"/>
        <v>58</v>
      </c>
      <c r="BP202" s="5">
        <f t="shared" si="87"/>
        <v>59</v>
      </c>
      <c r="BQ202" s="5">
        <f t="shared" si="87"/>
        <v>60</v>
      </c>
    </row>
    <row r="203" spans="1:69" outlineLevel="2">
      <c r="E203" s="2" t="str">
        <f t="shared" ref="E203:BQ203" si="88" xml:space="preserve">  E$177</f>
        <v>Fixed Operating Cost Growth Rate escalation duration flag</v>
      </c>
      <c r="F203" s="2">
        <f t="shared" si="88"/>
        <v>0</v>
      </c>
      <c r="G203" s="2" t="str">
        <f t="shared" si="88"/>
        <v>flag</v>
      </c>
      <c r="H203" s="2">
        <f t="shared" si="88"/>
        <v>60</v>
      </c>
      <c r="I203" s="2">
        <f t="shared" si="88"/>
        <v>0</v>
      </c>
      <c r="J203" s="2">
        <f t="shared" si="88"/>
        <v>1</v>
      </c>
      <c r="K203" s="2">
        <f t="shared" si="88"/>
        <v>1</v>
      </c>
      <c r="L203" s="2">
        <f t="shared" si="88"/>
        <v>1</v>
      </c>
      <c r="M203" s="2">
        <f t="shared" si="88"/>
        <v>1</v>
      </c>
      <c r="N203" s="2">
        <f t="shared" si="88"/>
        <v>1</v>
      </c>
      <c r="O203" s="2">
        <f t="shared" si="88"/>
        <v>1</v>
      </c>
      <c r="P203" s="2">
        <f t="shared" si="88"/>
        <v>1</v>
      </c>
      <c r="Q203" s="2">
        <f t="shared" si="88"/>
        <v>1</v>
      </c>
      <c r="R203" s="2">
        <f t="shared" si="88"/>
        <v>1</v>
      </c>
      <c r="S203" s="2">
        <f t="shared" si="88"/>
        <v>1</v>
      </c>
      <c r="T203" s="2">
        <f t="shared" si="88"/>
        <v>1</v>
      </c>
      <c r="U203" s="2">
        <f t="shared" si="88"/>
        <v>1</v>
      </c>
      <c r="V203" s="2">
        <f t="shared" si="88"/>
        <v>1</v>
      </c>
      <c r="W203" s="2">
        <f t="shared" si="88"/>
        <v>1</v>
      </c>
      <c r="X203" s="2">
        <f t="shared" si="88"/>
        <v>1</v>
      </c>
      <c r="Y203" s="2">
        <f t="shared" si="88"/>
        <v>1</v>
      </c>
      <c r="Z203" s="2">
        <f t="shared" si="88"/>
        <v>1</v>
      </c>
      <c r="AA203" s="2">
        <f t="shared" si="88"/>
        <v>1</v>
      </c>
      <c r="AB203" s="2">
        <f t="shared" si="88"/>
        <v>1</v>
      </c>
      <c r="AC203" s="2">
        <f t="shared" si="88"/>
        <v>1</v>
      </c>
      <c r="AD203" s="2">
        <f t="shared" si="88"/>
        <v>1</v>
      </c>
      <c r="AE203" s="2">
        <f t="shared" si="88"/>
        <v>1</v>
      </c>
      <c r="AF203" s="2">
        <f t="shared" si="88"/>
        <v>1</v>
      </c>
      <c r="AG203" s="2">
        <f t="shared" si="88"/>
        <v>1</v>
      </c>
      <c r="AH203" s="2">
        <f t="shared" si="88"/>
        <v>1</v>
      </c>
      <c r="AI203" s="2">
        <f t="shared" si="88"/>
        <v>1</v>
      </c>
      <c r="AJ203" s="2">
        <f t="shared" si="88"/>
        <v>1</v>
      </c>
      <c r="AK203" s="2">
        <f t="shared" si="88"/>
        <v>1</v>
      </c>
      <c r="AL203" s="2">
        <f t="shared" si="88"/>
        <v>1</v>
      </c>
      <c r="AM203" s="2">
        <f t="shared" si="88"/>
        <v>1</v>
      </c>
      <c r="AN203" s="2">
        <f t="shared" si="88"/>
        <v>1</v>
      </c>
      <c r="AO203" s="2">
        <f t="shared" si="88"/>
        <v>1</v>
      </c>
      <c r="AP203" s="2">
        <f t="shared" si="88"/>
        <v>1</v>
      </c>
      <c r="AQ203" s="2">
        <f t="shared" si="88"/>
        <v>1</v>
      </c>
      <c r="AR203" s="2">
        <f t="shared" si="88"/>
        <v>1</v>
      </c>
      <c r="AS203" s="2">
        <f t="shared" si="88"/>
        <v>1</v>
      </c>
      <c r="AT203" s="2">
        <f t="shared" si="88"/>
        <v>1</v>
      </c>
      <c r="AU203" s="2">
        <f t="shared" si="88"/>
        <v>1</v>
      </c>
      <c r="AV203" s="2">
        <f t="shared" si="88"/>
        <v>1</v>
      </c>
      <c r="AW203" s="2">
        <f t="shared" si="88"/>
        <v>1</v>
      </c>
      <c r="AX203" s="2">
        <f t="shared" si="88"/>
        <v>1</v>
      </c>
      <c r="AY203" s="2">
        <f t="shared" si="88"/>
        <v>1</v>
      </c>
      <c r="AZ203" s="2">
        <f t="shared" si="88"/>
        <v>1</v>
      </c>
      <c r="BA203" s="2">
        <f t="shared" si="88"/>
        <v>1</v>
      </c>
      <c r="BB203" s="2">
        <f t="shared" si="88"/>
        <v>1</v>
      </c>
      <c r="BC203" s="2">
        <f t="shared" si="88"/>
        <v>1</v>
      </c>
      <c r="BD203" s="2">
        <f t="shared" si="88"/>
        <v>1</v>
      </c>
      <c r="BE203" s="2">
        <f t="shared" si="88"/>
        <v>1</v>
      </c>
      <c r="BF203" s="2">
        <f t="shared" si="88"/>
        <v>1</v>
      </c>
      <c r="BG203" s="2">
        <f t="shared" si="88"/>
        <v>1</v>
      </c>
      <c r="BH203" s="2">
        <f t="shared" si="88"/>
        <v>1</v>
      </c>
      <c r="BI203" s="2">
        <f t="shared" si="88"/>
        <v>1</v>
      </c>
      <c r="BJ203" s="2">
        <f t="shared" si="88"/>
        <v>1</v>
      </c>
      <c r="BK203" s="2">
        <f t="shared" si="88"/>
        <v>1</v>
      </c>
      <c r="BL203" s="2">
        <f t="shared" si="88"/>
        <v>1</v>
      </c>
      <c r="BM203" s="2">
        <f t="shared" si="88"/>
        <v>1</v>
      </c>
      <c r="BN203" s="2">
        <f t="shared" si="88"/>
        <v>1</v>
      </c>
      <c r="BO203" s="2">
        <f t="shared" si="88"/>
        <v>1</v>
      </c>
      <c r="BP203" s="2">
        <f t="shared" si="88"/>
        <v>1</v>
      </c>
      <c r="BQ203" s="2">
        <f t="shared" si="88"/>
        <v>1</v>
      </c>
    </row>
    <row r="204" spans="1:69" outlineLevel="2">
      <c r="E204" s="47" t="s">
        <v>129</v>
      </c>
      <c r="G204" s="47" t="s">
        <v>20</v>
      </c>
      <c r="H204" s="2">
        <f xml:space="preserve"> SUM( J204:BQ204 )</f>
        <v>20</v>
      </c>
      <c r="J204" s="2">
        <f t="shared" ref="J204:BQ204" si="89" xml:space="preserve">  IF( MOD( J202 - $F199, $F200 / $F201 ) = 0, 1, 0 ) * J203</f>
        <v>1</v>
      </c>
      <c r="K204" s="2">
        <f t="shared" si="89"/>
        <v>0</v>
      </c>
      <c r="L204" s="2">
        <f t="shared" si="89"/>
        <v>0</v>
      </c>
      <c r="M204" s="2">
        <f t="shared" si="89"/>
        <v>1</v>
      </c>
      <c r="N204" s="2">
        <f t="shared" si="89"/>
        <v>0</v>
      </c>
      <c r="O204" s="2">
        <f t="shared" si="89"/>
        <v>0</v>
      </c>
      <c r="P204" s="2">
        <f t="shared" si="89"/>
        <v>1</v>
      </c>
      <c r="Q204" s="2">
        <f t="shared" si="89"/>
        <v>0</v>
      </c>
      <c r="R204" s="2">
        <f t="shared" si="89"/>
        <v>0</v>
      </c>
      <c r="S204" s="2">
        <f t="shared" si="89"/>
        <v>1</v>
      </c>
      <c r="T204" s="2">
        <f t="shared" si="89"/>
        <v>0</v>
      </c>
      <c r="U204" s="2">
        <f t="shared" si="89"/>
        <v>0</v>
      </c>
      <c r="V204" s="2">
        <f t="shared" si="89"/>
        <v>1</v>
      </c>
      <c r="W204" s="2">
        <f t="shared" si="89"/>
        <v>0</v>
      </c>
      <c r="X204" s="2">
        <f t="shared" si="89"/>
        <v>0</v>
      </c>
      <c r="Y204" s="2">
        <f t="shared" si="89"/>
        <v>1</v>
      </c>
      <c r="Z204" s="2">
        <f t="shared" si="89"/>
        <v>0</v>
      </c>
      <c r="AA204" s="2">
        <f t="shared" si="89"/>
        <v>0</v>
      </c>
      <c r="AB204" s="2">
        <f t="shared" si="89"/>
        <v>1</v>
      </c>
      <c r="AC204" s="2">
        <f t="shared" si="89"/>
        <v>0</v>
      </c>
      <c r="AD204" s="2">
        <f t="shared" si="89"/>
        <v>0</v>
      </c>
      <c r="AE204" s="2">
        <f t="shared" si="89"/>
        <v>1</v>
      </c>
      <c r="AF204" s="2">
        <f t="shared" si="89"/>
        <v>0</v>
      </c>
      <c r="AG204" s="2">
        <f t="shared" si="89"/>
        <v>0</v>
      </c>
      <c r="AH204" s="2">
        <f t="shared" si="89"/>
        <v>1</v>
      </c>
      <c r="AI204" s="2">
        <f t="shared" si="89"/>
        <v>0</v>
      </c>
      <c r="AJ204" s="2">
        <f t="shared" si="89"/>
        <v>0</v>
      </c>
      <c r="AK204" s="2">
        <f t="shared" si="89"/>
        <v>1</v>
      </c>
      <c r="AL204" s="2">
        <f t="shared" si="89"/>
        <v>0</v>
      </c>
      <c r="AM204" s="2">
        <f t="shared" si="89"/>
        <v>0</v>
      </c>
      <c r="AN204" s="2">
        <f t="shared" si="89"/>
        <v>1</v>
      </c>
      <c r="AO204" s="2">
        <f t="shared" si="89"/>
        <v>0</v>
      </c>
      <c r="AP204" s="2">
        <f t="shared" si="89"/>
        <v>0</v>
      </c>
      <c r="AQ204" s="2">
        <f t="shared" si="89"/>
        <v>1</v>
      </c>
      <c r="AR204" s="2">
        <f t="shared" si="89"/>
        <v>0</v>
      </c>
      <c r="AS204" s="2">
        <f t="shared" si="89"/>
        <v>0</v>
      </c>
      <c r="AT204" s="2">
        <f t="shared" si="89"/>
        <v>1</v>
      </c>
      <c r="AU204" s="2">
        <f t="shared" si="89"/>
        <v>0</v>
      </c>
      <c r="AV204" s="2">
        <f t="shared" si="89"/>
        <v>0</v>
      </c>
      <c r="AW204" s="2">
        <f t="shared" si="89"/>
        <v>1</v>
      </c>
      <c r="AX204" s="2">
        <f t="shared" si="89"/>
        <v>0</v>
      </c>
      <c r="AY204" s="2">
        <f t="shared" si="89"/>
        <v>0</v>
      </c>
      <c r="AZ204" s="2">
        <f t="shared" si="89"/>
        <v>1</v>
      </c>
      <c r="BA204" s="2">
        <f t="shared" si="89"/>
        <v>0</v>
      </c>
      <c r="BB204" s="2">
        <f t="shared" si="89"/>
        <v>0</v>
      </c>
      <c r="BC204" s="2">
        <f t="shared" si="89"/>
        <v>1</v>
      </c>
      <c r="BD204" s="2">
        <f t="shared" si="89"/>
        <v>0</v>
      </c>
      <c r="BE204" s="2">
        <f t="shared" si="89"/>
        <v>0</v>
      </c>
      <c r="BF204" s="2">
        <f t="shared" si="89"/>
        <v>1</v>
      </c>
      <c r="BG204" s="2">
        <f t="shared" si="89"/>
        <v>0</v>
      </c>
      <c r="BH204" s="2">
        <f t="shared" si="89"/>
        <v>0</v>
      </c>
      <c r="BI204" s="2">
        <f t="shared" si="89"/>
        <v>1</v>
      </c>
      <c r="BJ204" s="2">
        <f t="shared" si="89"/>
        <v>0</v>
      </c>
      <c r="BK204" s="2">
        <f t="shared" si="89"/>
        <v>0</v>
      </c>
      <c r="BL204" s="2">
        <f t="shared" si="89"/>
        <v>1</v>
      </c>
      <c r="BM204" s="2">
        <f t="shared" si="89"/>
        <v>0</v>
      </c>
      <c r="BN204" s="2">
        <f t="shared" si="89"/>
        <v>0</v>
      </c>
      <c r="BO204" s="2">
        <f t="shared" si="89"/>
        <v>1</v>
      </c>
      <c r="BP204" s="2">
        <f t="shared" si="89"/>
        <v>0</v>
      </c>
      <c r="BQ204" s="2">
        <f t="shared" si="89"/>
        <v>0</v>
      </c>
    </row>
    <row r="205" spans="1:69" outlineLevel="1"/>
    <row r="206" spans="1:69" outlineLevel="1"/>
    <row r="207" spans="1:69" outlineLevel="1">
      <c r="B207" s="25" t="s">
        <v>216</v>
      </c>
    </row>
    <row r="208" spans="1:69" outlineLevel="2">
      <c r="A208" s="18"/>
      <c r="B208" s="18"/>
      <c r="C208" s="28"/>
      <c r="D208" s="27"/>
      <c r="E208" s="20" t="str">
        <f xml:space="preserve">  InpC!E$101</f>
        <v>Start date</v>
      </c>
      <c r="F208" s="20">
        <f xml:space="preserve">  InpC!F$101</f>
        <v>45047</v>
      </c>
      <c r="G208" s="20" t="str">
        <f xml:space="preserve">  InpC!G$101</f>
        <v>date</v>
      </c>
      <c r="M208" s="8"/>
    </row>
    <row r="209" spans="1:69" outlineLevel="2">
      <c r="E209" s="8" t="str">
        <f t="shared" ref="E209:BQ209" si="90" xml:space="preserve">  E$19</f>
        <v>Model period end</v>
      </c>
      <c r="F209" s="8">
        <f t="shared" si="90"/>
        <v>0</v>
      </c>
      <c r="G209" s="8" t="str">
        <f t="shared" si="90"/>
        <v>date</v>
      </c>
      <c r="H209" s="8">
        <f t="shared" si="90"/>
        <v>0</v>
      </c>
      <c r="I209" s="8">
        <f t="shared" si="90"/>
        <v>0</v>
      </c>
      <c r="J209" s="8">
        <f t="shared" si="90"/>
        <v>45077</v>
      </c>
      <c r="K209" s="8">
        <f t="shared" si="90"/>
        <v>45107</v>
      </c>
      <c r="L209" s="8">
        <f t="shared" si="90"/>
        <v>45138</v>
      </c>
      <c r="M209" s="8">
        <f t="shared" si="90"/>
        <v>45169</v>
      </c>
      <c r="N209" s="8">
        <f t="shared" si="90"/>
        <v>45199</v>
      </c>
      <c r="O209" s="8">
        <f t="shared" si="90"/>
        <v>45230</v>
      </c>
      <c r="P209" s="8">
        <f t="shared" si="90"/>
        <v>45260</v>
      </c>
      <c r="Q209" s="8">
        <f t="shared" si="90"/>
        <v>45291</v>
      </c>
      <c r="R209" s="8">
        <f t="shared" si="90"/>
        <v>45322</v>
      </c>
      <c r="S209" s="8">
        <f t="shared" si="90"/>
        <v>45351</v>
      </c>
      <c r="T209" s="8">
        <f t="shared" si="90"/>
        <v>45382</v>
      </c>
      <c r="U209" s="8">
        <f t="shared" si="90"/>
        <v>45412</v>
      </c>
      <c r="V209" s="8">
        <f t="shared" si="90"/>
        <v>45443</v>
      </c>
      <c r="W209" s="8">
        <f t="shared" si="90"/>
        <v>45473</v>
      </c>
      <c r="X209" s="8">
        <f t="shared" si="90"/>
        <v>45504</v>
      </c>
      <c r="Y209" s="8">
        <f t="shared" si="90"/>
        <v>45535</v>
      </c>
      <c r="Z209" s="8">
        <f t="shared" si="90"/>
        <v>45565</v>
      </c>
      <c r="AA209" s="8">
        <f t="shared" si="90"/>
        <v>45596</v>
      </c>
      <c r="AB209" s="8">
        <f t="shared" si="90"/>
        <v>45626</v>
      </c>
      <c r="AC209" s="8">
        <f t="shared" si="90"/>
        <v>45657</v>
      </c>
      <c r="AD209" s="8">
        <f t="shared" si="90"/>
        <v>45688</v>
      </c>
      <c r="AE209" s="8">
        <f t="shared" si="90"/>
        <v>45716</v>
      </c>
      <c r="AF209" s="8">
        <f t="shared" si="90"/>
        <v>45747</v>
      </c>
      <c r="AG209" s="8">
        <f t="shared" si="90"/>
        <v>45777</v>
      </c>
      <c r="AH209" s="8">
        <f t="shared" si="90"/>
        <v>45808</v>
      </c>
      <c r="AI209" s="8">
        <f t="shared" si="90"/>
        <v>45838</v>
      </c>
      <c r="AJ209" s="8">
        <f t="shared" si="90"/>
        <v>45869</v>
      </c>
      <c r="AK209" s="8">
        <f t="shared" si="90"/>
        <v>45900</v>
      </c>
      <c r="AL209" s="8">
        <f t="shared" si="90"/>
        <v>45930</v>
      </c>
      <c r="AM209" s="8">
        <f t="shared" si="90"/>
        <v>45961</v>
      </c>
      <c r="AN209" s="8">
        <f t="shared" si="90"/>
        <v>45991</v>
      </c>
      <c r="AO209" s="8">
        <f t="shared" si="90"/>
        <v>46022</v>
      </c>
      <c r="AP209" s="8">
        <f t="shared" si="90"/>
        <v>46053</v>
      </c>
      <c r="AQ209" s="8">
        <f t="shared" si="90"/>
        <v>46081</v>
      </c>
      <c r="AR209" s="8">
        <f t="shared" si="90"/>
        <v>46112</v>
      </c>
      <c r="AS209" s="8">
        <f t="shared" si="90"/>
        <v>46142</v>
      </c>
      <c r="AT209" s="8">
        <f t="shared" si="90"/>
        <v>46173</v>
      </c>
      <c r="AU209" s="8">
        <f t="shared" si="90"/>
        <v>46203</v>
      </c>
      <c r="AV209" s="8">
        <f t="shared" si="90"/>
        <v>46234</v>
      </c>
      <c r="AW209" s="8">
        <f t="shared" si="90"/>
        <v>46265</v>
      </c>
      <c r="AX209" s="8">
        <f t="shared" si="90"/>
        <v>46295</v>
      </c>
      <c r="AY209" s="8">
        <f t="shared" si="90"/>
        <v>46326</v>
      </c>
      <c r="AZ209" s="8">
        <f t="shared" si="90"/>
        <v>46356</v>
      </c>
      <c r="BA209" s="8">
        <f t="shared" si="90"/>
        <v>46387</v>
      </c>
      <c r="BB209" s="8">
        <f t="shared" si="90"/>
        <v>46418</v>
      </c>
      <c r="BC209" s="8">
        <f t="shared" si="90"/>
        <v>46446</v>
      </c>
      <c r="BD209" s="8">
        <f t="shared" si="90"/>
        <v>46477</v>
      </c>
      <c r="BE209" s="8">
        <f t="shared" si="90"/>
        <v>46507</v>
      </c>
      <c r="BF209" s="8">
        <f t="shared" si="90"/>
        <v>46538</v>
      </c>
      <c r="BG209" s="8">
        <f t="shared" si="90"/>
        <v>46568</v>
      </c>
      <c r="BH209" s="8">
        <f t="shared" si="90"/>
        <v>46599</v>
      </c>
      <c r="BI209" s="8">
        <f t="shared" si="90"/>
        <v>46630</v>
      </c>
      <c r="BJ209" s="8">
        <f t="shared" si="90"/>
        <v>46660</v>
      </c>
      <c r="BK209" s="8">
        <f t="shared" si="90"/>
        <v>46691</v>
      </c>
      <c r="BL209" s="8">
        <f t="shared" si="90"/>
        <v>46721</v>
      </c>
      <c r="BM209" s="8">
        <f t="shared" si="90"/>
        <v>46752</v>
      </c>
      <c r="BN209" s="8">
        <f t="shared" si="90"/>
        <v>46783</v>
      </c>
      <c r="BO209" s="8">
        <f t="shared" si="90"/>
        <v>46812</v>
      </c>
      <c r="BP209" s="8">
        <f t="shared" si="90"/>
        <v>46843</v>
      </c>
      <c r="BQ209" s="8">
        <f t="shared" si="90"/>
        <v>46873</v>
      </c>
    </row>
    <row r="210" spans="1:69" outlineLevel="2">
      <c r="E210" s="2" t="str">
        <f t="shared" ref="E210:BQ210" si="91" xml:space="preserve">  E$204</f>
        <v>Fixed Operating Cost Growth Rate escalation step up frequency flag</v>
      </c>
      <c r="F210" s="2">
        <f t="shared" si="91"/>
        <v>0</v>
      </c>
      <c r="G210" s="2" t="str">
        <f t="shared" si="91"/>
        <v>flag</v>
      </c>
      <c r="H210" s="2">
        <f t="shared" si="91"/>
        <v>20</v>
      </c>
      <c r="I210" s="2">
        <f t="shared" si="91"/>
        <v>0</v>
      </c>
      <c r="J210" s="2">
        <f t="shared" si="91"/>
        <v>1</v>
      </c>
      <c r="K210" s="2">
        <f t="shared" si="91"/>
        <v>0</v>
      </c>
      <c r="L210" s="2">
        <f t="shared" si="91"/>
        <v>0</v>
      </c>
      <c r="M210" s="2">
        <f t="shared" si="91"/>
        <v>1</v>
      </c>
      <c r="N210" s="2">
        <f t="shared" si="91"/>
        <v>0</v>
      </c>
      <c r="O210" s="2">
        <f t="shared" si="91"/>
        <v>0</v>
      </c>
      <c r="P210" s="2">
        <f t="shared" si="91"/>
        <v>1</v>
      </c>
      <c r="Q210" s="2">
        <f t="shared" si="91"/>
        <v>0</v>
      </c>
      <c r="R210" s="2">
        <f t="shared" si="91"/>
        <v>0</v>
      </c>
      <c r="S210" s="2">
        <f t="shared" si="91"/>
        <v>1</v>
      </c>
      <c r="T210" s="2">
        <f t="shared" si="91"/>
        <v>0</v>
      </c>
      <c r="U210" s="2">
        <f t="shared" si="91"/>
        <v>0</v>
      </c>
      <c r="V210" s="2">
        <f t="shared" si="91"/>
        <v>1</v>
      </c>
      <c r="W210" s="2">
        <f t="shared" si="91"/>
        <v>0</v>
      </c>
      <c r="X210" s="2">
        <f t="shared" si="91"/>
        <v>0</v>
      </c>
      <c r="Y210" s="2">
        <f t="shared" si="91"/>
        <v>1</v>
      </c>
      <c r="Z210" s="2">
        <f t="shared" si="91"/>
        <v>0</v>
      </c>
      <c r="AA210" s="2">
        <f t="shared" si="91"/>
        <v>0</v>
      </c>
      <c r="AB210" s="2">
        <f t="shared" si="91"/>
        <v>1</v>
      </c>
      <c r="AC210" s="2">
        <f t="shared" si="91"/>
        <v>0</v>
      </c>
      <c r="AD210" s="2">
        <f t="shared" si="91"/>
        <v>0</v>
      </c>
      <c r="AE210" s="2">
        <f t="shared" si="91"/>
        <v>1</v>
      </c>
      <c r="AF210" s="2">
        <f t="shared" si="91"/>
        <v>0</v>
      </c>
      <c r="AG210" s="2">
        <f t="shared" si="91"/>
        <v>0</v>
      </c>
      <c r="AH210" s="2">
        <f t="shared" si="91"/>
        <v>1</v>
      </c>
      <c r="AI210" s="2">
        <f t="shared" si="91"/>
        <v>0</v>
      </c>
      <c r="AJ210" s="2">
        <f t="shared" si="91"/>
        <v>0</v>
      </c>
      <c r="AK210" s="2">
        <f t="shared" si="91"/>
        <v>1</v>
      </c>
      <c r="AL210" s="2">
        <f t="shared" si="91"/>
        <v>0</v>
      </c>
      <c r="AM210" s="2">
        <f t="shared" si="91"/>
        <v>0</v>
      </c>
      <c r="AN210" s="2">
        <f t="shared" si="91"/>
        <v>1</v>
      </c>
      <c r="AO210" s="2">
        <f t="shared" si="91"/>
        <v>0</v>
      </c>
      <c r="AP210" s="2">
        <f t="shared" si="91"/>
        <v>0</v>
      </c>
      <c r="AQ210" s="2">
        <f t="shared" si="91"/>
        <v>1</v>
      </c>
      <c r="AR210" s="2">
        <f t="shared" si="91"/>
        <v>0</v>
      </c>
      <c r="AS210" s="2">
        <f t="shared" si="91"/>
        <v>0</v>
      </c>
      <c r="AT210" s="2">
        <f t="shared" si="91"/>
        <v>1</v>
      </c>
      <c r="AU210" s="2">
        <f t="shared" si="91"/>
        <v>0</v>
      </c>
      <c r="AV210" s="2">
        <f t="shared" si="91"/>
        <v>0</v>
      </c>
      <c r="AW210" s="2">
        <f t="shared" si="91"/>
        <v>1</v>
      </c>
      <c r="AX210" s="2">
        <f t="shared" si="91"/>
        <v>0</v>
      </c>
      <c r="AY210" s="2">
        <f t="shared" si="91"/>
        <v>0</v>
      </c>
      <c r="AZ210" s="2">
        <f t="shared" si="91"/>
        <v>1</v>
      </c>
      <c r="BA210" s="2">
        <f t="shared" si="91"/>
        <v>0</v>
      </c>
      <c r="BB210" s="2">
        <f t="shared" si="91"/>
        <v>0</v>
      </c>
      <c r="BC210" s="2">
        <f t="shared" si="91"/>
        <v>1</v>
      </c>
      <c r="BD210" s="2">
        <f t="shared" si="91"/>
        <v>0</v>
      </c>
      <c r="BE210" s="2">
        <f t="shared" si="91"/>
        <v>0</v>
      </c>
      <c r="BF210" s="2">
        <f t="shared" si="91"/>
        <v>1</v>
      </c>
      <c r="BG210" s="2">
        <f t="shared" si="91"/>
        <v>0</v>
      </c>
      <c r="BH210" s="2">
        <f t="shared" si="91"/>
        <v>0</v>
      </c>
      <c r="BI210" s="2">
        <f t="shared" si="91"/>
        <v>1</v>
      </c>
      <c r="BJ210" s="2">
        <f t="shared" si="91"/>
        <v>0</v>
      </c>
      <c r="BK210" s="2">
        <f t="shared" si="91"/>
        <v>0</v>
      </c>
      <c r="BL210" s="2">
        <f t="shared" si="91"/>
        <v>1</v>
      </c>
      <c r="BM210" s="2">
        <f t="shared" si="91"/>
        <v>0</v>
      </c>
      <c r="BN210" s="2">
        <f t="shared" si="91"/>
        <v>0</v>
      </c>
      <c r="BO210" s="2">
        <f t="shared" si="91"/>
        <v>1</v>
      </c>
      <c r="BP210" s="2">
        <f t="shared" si="91"/>
        <v>0</v>
      </c>
      <c r="BQ210" s="2">
        <f t="shared" si="91"/>
        <v>0</v>
      </c>
    </row>
    <row r="211" spans="1:69" outlineLevel="2">
      <c r="E211" s="47" t="s">
        <v>216</v>
      </c>
      <c r="G211" s="47" t="s">
        <v>213</v>
      </c>
      <c r="J211" s="8">
        <f t="shared" ref="J211:BQ211" si="92" xml:space="preserve">  DATE( YEAR( J209 ), MONTH( J209 ), DAY( $F208 ) ) * J210</f>
        <v>45047</v>
      </c>
      <c r="K211" s="8">
        <f t="shared" si="92"/>
        <v>0</v>
      </c>
      <c r="L211" s="8">
        <f t="shared" si="92"/>
        <v>0</v>
      </c>
      <c r="M211" s="8">
        <f t="shared" si="92"/>
        <v>45139</v>
      </c>
      <c r="N211" s="8">
        <f t="shared" si="92"/>
        <v>0</v>
      </c>
      <c r="O211" s="8">
        <f t="shared" si="92"/>
        <v>0</v>
      </c>
      <c r="P211" s="8">
        <f t="shared" si="92"/>
        <v>45231</v>
      </c>
      <c r="Q211" s="8">
        <f t="shared" si="92"/>
        <v>0</v>
      </c>
      <c r="R211" s="8">
        <f t="shared" si="92"/>
        <v>0</v>
      </c>
      <c r="S211" s="8">
        <f t="shared" si="92"/>
        <v>45323</v>
      </c>
      <c r="T211" s="8">
        <f t="shared" si="92"/>
        <v>0</v>
      </c>
      <c r="U211" s="8">
        <f t="shared" si="92"/>
        <v>0</v>
      </c>
      <c r="V211" s="8">
        <f t="shared" si="92"/>
        <v>45413</v>
      </c>
      <c r="W211" s="8">
        <f t="shared" si="92"/>
        <v>0</v>
      </c>
      <c r="X211" s="8">
        <f t="shared" si="92"/>
        <v>0</v>
      </c>
      <c r="Y211" s="8">
        <f t="shared" si="92"/>
        <v>45505</v>
      </c>
      <c r="Z211" s="8">
        <f t="shared" si="92"/>
        <v>0</v>
      </c>
      <c r="AA211" s="8">
        <f t="shared" si="92"/>
        <v>0</v>
      </c>
      <c r="AB211" s="8">
        <f t="shared" si="92"/>
        <v>45597</v>
      </c>
      <c r="AC211" s="8">
        <f t="shared" si="92"/>
        <v>0</v>
      </c>
      <c r="AD211" s="8">
        <f t="shared" si="92"/>
        <v>0</v>
      </c>
      <c r="AE211" s="8">
        <f t="shared" si="92"/>
        <v>45689</v>
      </c>
      <c r="AF211" s="8">
        <f t="shared" si="92"/>
        <v>0</v>
      </c>
      <c r="AG211" s="8">
        <f t="shared" si="92"/>
        <v>0</v>
      </c>
      <c r="AH211" s="8">
        <f t="shared" si="92"/>
        <v>45778</v>
      </c>
      <c r="AI211" s="8">
        <f t="shared" si="92"/>
        <v>0</v>
      </c>
      <c r="AJ211" s="8">
        <f t="shared" si="92"/>
        <v>0</v>
      </c>
      <c r="AK211" s="8">
        <f t="shared" si="92"/>
        <v>45870</v>
      </c>
      <c r="AL211" s="8">
        <f t="shared" si="92"/>
        <v>0</v>
      </c>
      <c r="AM211" s="8">
        <f t="shared" si="92"/>
        <v>0</v>
      </c>
      <c r="AN211" s="8">
        <f t="shared" si="92"/>
        <v>45962</v>
      </c>
      <c r="AO211" s="8">
        <f t="shared" si="92"/>
        <v>0</v>
      </c>
      <c r="AP211" s="8">
        <f t="shared" si="92"/>
        <v>0</v>
      </c>
      <c r="AQ211" s="8">
        <f t="shared" si="92"/>
        <v>46054</v>
      </c>
      <c r="AR211" s="8">
        <f t="shared" si="92"/>
        <v>0</v>
      </c>
      <c r="AS211" s="8">
        <f t="shared" si="92"/>
        <v>0</v>
      </c>
      <c r="AT211" s="8">
        <f t="shared" si="92"/>
        <v>46143</v>
      </c>
      <c r="AU211" s="8">
        <f t="shared" si="92"/>
        <v>0</v>
      </c>
      <c r="AV211" s="8">
        <f t="shared" si="92"/>
        <v>0</v>
      </c>
      <c r="AW211" s="8">
        <f t="shared" si="92"/>
        <v>46235</v>
      </c>
      <c r="AX211" s="8">
        <f t="shared" si="92"/>
        <v>0</v>
      </c>
      <c r="AY211" s="8">
        <f t="shared" si="92"/>
        <v>0</v>
      </c>
      <c r="AZ211" s="8">
        <f t="shared" si="92"/>
        <v>46327</v>
      </c>
      <c r="BA211" s="8">
        <f t="shared" si="92"/>
        <v>0</v>
      </c>
      <c r="BB211" s="8">
        <f t="shared" si="92"/>
        <v>0</v>
      </c>
      <c r="BC211" s="8">
        <f t="shared" si="92"/>
        <v>46419</v>
      </c>
      <c r="BD211" s="8">
        <f t="shared" si="92"/>
        <v>0</v>
      </c>
      <c r="BE211" s="8">
        <f t="shared" si="92"/>
        <v>0</v>
      </c>
      <c r="BF211" s="8">
        <f t="shared" si="92"/>
        <v>46508</v>
      </c>
      <c r="BG211" s="8">
        <f t="shared" si="92"/>
        <v>0</v>
      </c>
      <c r="BH211" s="8">
        <f t="shared" si="92"/>
        <v>0</v>
      </c>
      <c r="BI211" s="8">
        <f t="shared" si="92"/>
        <v>46600</v>
      </c>
      <c r="BJ211" s="8">
        <f t="shared" si="92"/>
        <v>0</v>
      </c>
      <c r="BK211" s="8">
        <f t="shared" si="92"/>
        <v>0</v>
      </c>
      <c r="BL211" s="8">
        <f t="shared" si="92"/>
        <v>46692</v>
      </c>
      <c r="BM211" s="8">
        <f t="shared" si="92"/>
        <v>0</v>
      </c>
      <c r="BN211" s="8">
        <f t="shared" si="92"/>
        <v>0</v>
      </c>
      <c r="BO211" s="8">
        <f t="shared" si="92"/>
        <v>46784</v>
      </c>
      <c r="BP211" s="8">
        <f t="shared" si="92"/>
        <v>0</v>
      </c>
      <c r="BQ211" s="8">
        <f t="shared" si="92"/>
        <v>0</v>
      </c>
    </row>
    <row r="212" spans="1:69" outlineLevel="1"/>
    <row r="213" spans="1:69" outlineLevel="1"/>
    <row r="214" spans="1:69" outlineLevel="1">
      <c r="B214" s="25" t="s">
        <v>242</v>
      </c>
    </row>
    <row r="215" spans="1:69" outlineLevel="2">
      <c r="A215" s="18"/>
      <c r="B215" s="18"/>
      <c r="C215" s="28"/>
      <c r="D215" s="27"/>
      <c r="E215" s="20" t="str">
        <f xml:space="preserve">  InpC!E$101</f>
        <v>Start date</v>
      </c>
      <c r="F215" s="20">
        <f xml:space="preserve">  InpC!F$101</f>
        <v>45047</v>
      </c>
      <c r="G215" s="20" t="str">
        <f xml:space="preserve">  InpC!G$101</f>
        <v>date</v>
      </c>
      <c r="M215" s="8"/>
    </row>
    <row r="216" spans="1:69" outlineLevel="2">
      <c r="E216" s="8" t="str">
        <f t="shared" ref="E216:BQ216" si="93" xml:space="preserve">  E$211</f>
        <v>Day in period Fixed Operating Cost Growth Rate escalation occurs</v>
      </c>
      <c r="F216" s="8">
        <f t="shared" si="93"/>
        <v>0</v>
      </c>
      <c r="G216" s="8" t="str">
        <f t="shared" si="93"/>
        <v>date</v>
      </c>
      <c r="H216" s="8">
        <f t="shared" si="93"/>
        <v>0</v>
      </c>
      <c r="I216" s="8">
        <f t="shared" si="93"/>
        <v>0</v>
      </c>
      <c r="J216" s="8">
        <f t="shared" si="93"/>
        <v>45047</v>
      </c>
      <c r="K216" s="8">
        <f t="shared" si="93"/>
        <v>0</v>
      </c>
      <c r="L216" s="8">
        <f t="shared" si="93"/>
        <v>0</v>
      </c>
      <c r="M216" s="8">
        <f t="shared" si="93"/>
        <v>45139</v>
      </c>
      <c r="N216" s="8">
        <f t="shared" si="93"/>
        <v>0</v>
      </c>
      <c r="O216" s="8">
        <f t="shared" si="93"/>
        <v>0</v>
      </c>
      <c r="P216" s="8">
        <f t="shared" si="93"/>
        <v>45231</v>
      </c>
      <c r="Q216" s="8">
        <f t="shared" si="93"/>
        <v>0</v>
      </c>
      <c r="R216" s="8">
        <f t="shared" si="93"/>
        <v>0</v>
      </c>
      <c r="S216" s="8">
        <f t="shared" si="93"/>
        <v>45323</v>
      </c>
      <c r="T216" s="8">
        <f t="shared" si="93"/>
        <v>0</v>
      </c>
      <c r="U216" s="8">
        <f t="shared" si="93"/>
        <v>0</v>
      </c>
      <c r="V216" s="8">
        <f t="shared" si="93"/>
        <v>45413</v>
      </c>
      <c r="W216" s="8">
        <f t="shared" si="93"/>
        <v>0</v>
      </c>
      <c r="X216" s="8">
        <f t="shared" si="93"/>
        <v>0</v>
      </c>
      <c r="Y216" s="8">
        <f t="shared" si="93"/>
        <v>45505</v>
      </c>
      <c r="Z216" s="8">
        <f t="shared" si="93"/>
        <v>0</v>
      </c>
      <c r="AA216" s="8">
        <f t="shared" si="93"/>
        <v>0</v>
      </c>
      <c r="AB216" s="8">
        <f t="shared" si="93"/>
        <v>45597</v>
      </c>
      <c r="AC216" s="8">
        <f t="shared" si="93"/>
        <v>0</v>
      </c>
      <c r="AD216" s="8">
        <f t="shared" si="93"/>
        <v>0</v>
      </c>
      <c r="AE216" s="8">
        <f t="shared" si="93"/>
        <v>45689</v>
      </c>
      <c r="AF216" s="8">
        <f t="shared" si="93"/>
        <v>0</v>
      </c>
      <c r="AG216" s="8">
        <f t="shared" si="93"/>
        <v>0</v>
      </c>
      <c r="AH216" s="8">
        <f t="shared" si="93"/>
        <v>45778</v>
      </c>
      <c r="AI216" s="8">
        <f t="shared" si="93"/>
        <v>0</v>
      </c>
      <c r="AJ216" s="8">
        <f t="shared" si="93"/>
        <v>0</v>
      </c>
      <c r="AK216" s="8">
        <f t="shared" si="93"/>
        <v>45870</v>
      </c>
      <c r="AL216" s="8">
        <f t="shared" si="93"/>
        <v>0</v>
      </c>
      <c r="AM216" s="8">
        <f t="shared" si="93"/>
        <v>0</v>
      </c>
      <c r="AN216" s="8">
        <f t="shared" si="93"/>
        <v>45962</v>
      </c>
      <c r="AO216" s="8">
        <f t="shared" si="93"/>
        <v>0</v>
      </c>
      <c r="AP216" s="8">
        <f t="shared" si="93"/>
        <v>0</v>
      </c>
      <c r="AQ216" s="8">
        <f t="shared" si="93"/>
        <v>46054</v>
      </c>
      <c r="AR216" s="8">
        <f t="shared" si="93"/>
        <v>0</v>
      </c>
      <c r="AS216" s="8">
        <f t="shared" si="93"/>
        <v>0</v>
      </c>
      <c r="AT216" s="8">
        <f t="shared" si="93"/>
        <v>46143</v>
      </c>
      <c r="AU216" s="8">
        <f t="shared" si="93"/>
        <v>0</v>
      </c>
      <c r="AV216" s="8">
        <f t="shared" si="93"/>
        <v>0</v>
      </c>
      <c r="AW216" s="8">
        <f t="shared" si="93"/>
        <v>46235</v>
      </c>
      <c r="AX216" s="8">
        <f t="shared" si="93"/>
        <v>0</v>
      </c>
      <c r="AY216" s="8">
        <f t="shared" si="93"/>
        <v>0</v>
      </c>
      <c r="AZ216" s="8">
        <f t="shared" si="93"/>
        <v>46327</v>
      </c>
      <c r="BA216" s="8">
        <f t="shared" si="93"/>
        <v>0</v>
      </c>
      <c r="BB216" s="8">
        <f t="shared" si="93"/>
        <v>0</v>
      </c>
      <c r="BC216" s="8">
        <f t="shared" si="93"/>
        <v>46419</v>
      </c>
      <c r="BD216" s="8">
        <f t="shared" si="93"/>
        <v>0</v>
      </c>
      <c r="BE216" s="8">
        <f t="shared" si="93"/>
        <v>0</v>
      </c>
      <c r="BF216" s="8">
        <f t="shared" si="93"/>
        <v>46508</v>
      </c>
      <c r="BG216" s="8">
        <f t="shared" si="93"/>
        <v>0</v>
      </c>
      <c r="BH216" s="8">
        <f t="shared" si="93"/>
        <v>0</v>
      </c>
      <c r="BI216" s="8">
        <f t="shared" si="93"/>
        <v>46600</v>
      </c>
      <c r="BJ216" s="8">
        <f t="shared" si="93"/>
        <v>0</v>
      </c>
      <c r="BK216" s="8">
        <f t="shared" si="93"/>
        <v>0</v>
      </c>
      <c r="BL216" s="8">
        <f t="shared" si="93"/>
        <v>46692</v>
      </c>
      <c r="BM216" s="8">
        <f t="shared" si="93"/>
        <v>0</v>
      </c>
      <c r="BN216" s="8">
        <f t="shared" si="93"/>
        <v>0</v>
      </c>
      <c r="BO216" s="8">
        <f t="shared" si="93"/>
        <v>46784</v>
      </c>
      <c r="BP216" s="8">
        <f t="shared" si="93"/>
        <v>0</v>
      </c>
      <c r="BQ216" s="8">
        <f t="shared" si="93"/>
        <v>0</v>
      </c>
    </row>
    <row r="217" spans="1:69" outlineLevel="2">
      <c r="E217" s="2" t="str">
        <f t="shared" ref="E217:BQ217" si="94" xml:space="preserve">  E$204</f>
        <v>Fixed Operating Cost Growth Rate escalation step up frequency flag</v>
      </c>
      <c r="F217" s="2">
        <f t="shared" si="94"/>
        <v>0</v>
      </c>
      <c r="G217" s="2" t="str">
        <f t="shared" si="94"/>
        <v>flag</v>
      </c>
      <c r="H217" s="2">
        <f t="shared" si="94"/>
        <v>20</v>
      </c>
      <c r="I217" s="2">
        <f t="shared" si="94"/>
        <v>0</v>
      </c>
      <c r="J217" s="2">
        <f t="shared" si="94"/>
        <v>1</v>
      </c>
      <c r="K217" s="2">
        <f t="shared" si="94"/>
        <v>0</v>
      </c>
      <c r="L217" s="2">
        <f t="shared" si="94"/>
        <v>0</v>
      </c>
      <c r="M217" s="2">
        <f t="shared" si="94"/>
        <v>1</v>
      </c>
      <c r="N217" s="2">
        <f t="shared" si="94"/>
        <v>0</v>
      </c>
      <c r="O217" s="2">
        <f t="shared" si="94"/>
        <v>0</v>
      </c>
      <c r="P217" s="2">
        <f t="shared" si="94"/>
        <v>1</v>
      </c>
      <c r="Q217" s="2">
        <f t="shared" si="94"/>
        <v>0</v>
      </c>
      <c r="R217" s="2">
        <f t="shared" si="94"/>
        <v>0</v>
      </c>
      <c r="S217" s="2">
        <f t="shared" si="94"/>
        <v>1</v>
      </c>
      <c r="T217" s="2">
        <f t="shared" si="94"/>
        <v>0</v>
      </c>
      <c r="U217" s="2">
        <f t="shared" si="94"/>
        <v>0</v>
      </c>
      <c r="V217" s="2">
        <f t="shared" si="94"/>
        <v>1</v>
      </c>
      <c r="W217" s="2">
        <f t="shared" si="94"/>
        <v>0</v>
      </c>
      <c r="X217" s="2">
        <f t="shared" si="94"/>
        <v>0</v>
      </c>
      <c r="Y217" s="2">
        <f t="shared" si="94"/>
        <v>1</v>
      </c>
      <c r="Z217" s="2">
        <f t="shared" si="94"/>
        <v>0</v>
      </c>
      <c r="AA217" s="2">
        <f t="shared" si="94"/>
        <v>0</v>
      </c>
      <c r="AB217" s="2">
        <f t="shared" si="94"/>
        <v>1</v>
      </c>
      <c r="AC217" s="2">
        <f t="shared" si="94"/>
        <v>0</v>
      </c>
      <c r="AD217" s="2">
        <f t="shared" si="94"/>
        <v>0</v>
      </c>
      <c r="AE217" s="2">
        <f t="shared" si="94"/>
        <v>1</v>
      </c>
      <c r="AF217" s="2">
        <f t="shared" si="94"/>
        <v>0</v>
      </c>
      <c r="AG217" s="2">
        <f t="shared" si="94"/>
        <v>0</v>
      </c>
      <c r="AH217" s="2">
        <f t="shared" si="94"/>
        <v>1</v>
      </c>
      <c r="AI217" s="2">
        <f t="shared" si="94"/>
        <v>0</v>
      </c>
      <c r="AJ217" s="2">
        <f t="shared" si="94"/>
        <v>0</v>
      </c>
      <c r="AK217" s="2">
        <f t="shared" si="94"/>
        <v>1</v>
      </c>
      <c r="AL217" s="2">
        <f t="shared" si="94"/>
        <v>0</v>
      </c>
      <c r="AM217" s="2">
        <f t="shared" si="94"/>
        <v>0</v>
      </c>
      <c r="AN217" s="2">
        <f t="shared" si="94"/>
        <v>1</v>
      </c>
      <c r="AO217" s="2">
        <f t="shared" si="94"/>
        <v>0</v>
      </c>
      <c r="AP217" s="2">
        <f t="shared" si="94"/>
        <v>0</v>
      </c>
      <c r="AQ217" s="2">
        <f t="shared" si="94"/>
        <v>1</v>
      </c>
      <c r="AR217" s="2">
        <f t="shared" si="94"/>
        <v>0</v>
      </c>
      <c r="AS217" s="2">
        <f t="shared" si="94"/>
        <v>0</v>
      </c>
      <c r="AT217" s="2">
        <f t="shared" si="94"/>
        <v>1</v>
      </c>
      <c r="AU217" s="2">
        <f t="shared" si="94"/>
        <v>0</v>
      </c>
      <c r="AV217" s="2">
        <f t="shared" si="94"/>
        <v>0</v>
      </c>
      <c r="AW217" s="2">
        <f t="shared" si="94"/>
        <v>1</v>
      </c>
      <c r="AX217" s="2">
        <f t="shared" si="94"/>
        <v>0</v>
      </c>
      <c r="AY217" s="2">
        <f t="shared" si="94"/>
        <v>0</v>
      </c>
      <c r="AZ217" s="2">
        <f t="shared" si="94"/>
        <v>1</v>
      </c>
      <c r="BA217" s="2">
        <f t="shared" si="94"/>
        <v>0</v>
      </c>
      <c r="BB217" s="2">
        <f t="shared" si="94"/>
        <v>0</v>
      </c>
      <c r="BC217" s="2">
        <f t="shared" si="94"/>
        <v>1</v>
      </c>
      <c r="BD217" s="2">
        <f t="shared" si="94"/>
        <v>0</v>
      </c>
      <c r="BE217" s="2">
        <f t="shared" si="94"/>
        <v>0</v>
      </c>
      <c r="BF217" s="2">
        <f t="shared" si="94"/>
        <v>1</v>
      </c>
      <c r="BG217" s="2">
        <f t="shared" si="94"/>
        <v>0</v>
      </c>
      <c r="BH217" s="2">
        <f t="shared" si="94"/>
        <v>0</v>
      </c>
      <c r="BI217" s="2">
        <f t="shared" si="94"/>
        <v>1</v>
      </c>
      <c r="BJ217" s="2">
        <f t="shared" si="94"/>
        <v>0</v>
      </c>
      <c r="BK217" s="2">
        <f t="shared" si="94"/>
        <v>0</v>
      </c>
      <c r="BL217" s="2">
        <f t="shared" si="94"/>
        <v>1</v>
      </c>
      <c r="BM217" s="2">
        <f t="shared" si="94"/>
        <v>0</v>
      </c>
      <c r="BN217" s="2">
        <f t="shared" si="94"/>
        <v>0</v>
      </c>
      <c r="BO217" s="2">
        <f t="shared" si="94"/>
        <v>1</v>
      </c>
      <c r="BP217" s="2">
        <f t="shared" si="94"/>
        <v>0</v>
      </c>
      <c r="BQ217" s="2">
        <f t="shared" si="94"/>
        <v>0</v>
      </c>
    </row>
    <row r="218" spans="1:69" outlineLevel="2">
      <c r="E218" s="47" t="s">
        <v>242</v>
      </c>
      <c r="H218" s="2">
        <f xml:space="preserve"> SUM( J218:BQ218 )</f>
        <v>47.569222418152265</v>
      </c>
      <c r="J218" s="2">
        <f t="shared" ref="J218:BQ218" si="95" xml:space="preserve">  YEARFRAC( $F215, J216, 1 ) * J217</f>
        <v>0</v>
      </c>
      <c r="K218" s="2">
        <f t="shared" si="95"/>
        <v>0</v>
      </c>
      <c r="L218" s="2">
        <f t="shared" si="95"/>
        <v>0</v>
      </c>
      <c r="M218" s="2">
        <f t="shared" si="95"/>
        <v>0.25205479452054796</v>
      </c>
      <c r="N218" s="2">
        <f t="shared" si="95"/>
        <v>0</v>
      </c>
      <c r="O218" s="2">
        <f t="shared" si="95"/>
        <v>0</v>
      </c>
      <c r="P218" s="2">
        <f t="shared" si="95"/>
        <v>0.50410958904109593</v>
      </c>
      <c r="Q218" s="2">
        <f t="shared" si="95"/>
        <v>0</v>
      </c>
      <c r="R218" s="2">
        <f t="shared" si="95"/>
        <v>0</v>
      </c>
      <c r="S218" s="2">
        <f t="shared" si="95"/>
        <v>0.75616438356164384</v>
      </c>
      <c r="T218" s="2">
        <f t="shared" si="95"/>
        <v>0</v>
      </c>
      <c r="U218" s="2">
        <f t="shared" si="95"/>
        <v>0</v>
      </c>
      <c r="V218" s="2">
        <f t="shared" si="95"/>
        <v>1</v>
      </c>
      <c r="W218" s="2">
        <f t="shared" si="95"/>
        <v>0</v>
      </c>
      <c r="X218" s="2">
        <f t="shared" si="95"/>
        <v>0</v>
      </c>
      <c r="Y218" s="2">
        <f t="shared" si="95"/>
        <v>1.2530779753761969</v>
      </c>
      <c r="Z218" s="2">
        <f t="shared" si="95"/>
        <v>0</v>
      </c>
      <c r="AA218" s="2">
        <f t="shared" si="95"/>
        <v>0</v>
      </c>
      <c r="AB218" s="2">
        <f t="shared" si="95"/>
        <v>1.5047879616963065</v>
      </c>
      <c r="AC218" s="2">
        <f t="shared" si="95"/>
        <v>0</v>
      </c>
      <c r="AD218" s="2">
        <f t="shared" si="95"/>
        <v>0</v>
      </c>
      <c r="AE218" s="2">
        <f t="shared" si="95"/>
        <v>1.7572992700729928</v>
      </c>
      <c r="AF218" s="2">
        <f t="shared" si="95"/>
        <v>0</v>
      </c>
      <c r="AG218" s="2">
        <f t="shared" si="95"/>
        <v>0</v>
      </c>
      <c r="AH218" s="2">
        <f t="shared" si="95"/>
        <v>2.0009124087591244</v>
      </c>
      <c r="AI218" s="2">
        <f t="shared" si="95"/>
        <v>0</v>
      </c>
      <c r="AJ218" s="2">
        <f t="shared" si="95"/>
        <v>0</v>
      </c>
      <c r="AK218" s="2">
        <f t="shared" si="95"/>
        <v>2.2527372262773722</v>
      </c>
      <c r="AL218" s="2">
        <f t="shared" si="95"/>
        <v>0</v>
      </c>
      <c r="AM218" s="2">
        <f t="shared" si="95"/>
        <v>0</v>
      </c>
      <c r="AN218" s="2">
        <f t="shared" si="95"/>
        <v>2.5045620437956204</v>
      </c>
      <c r="AO218" s="2">
        <f t="shared" si="95"/>
        <v>0</v>
      </c>
      <c r="AP218" s="2">
        <f t="shared" si="95"/>
        <v>0</v>
      </c>
      <c r="AQ218" s="2">
        <f t="shared" si="95"/>
        <v>2.7570157426420261</v>
      </c>
      <c r="AR218" s="2">
        <f t="shared" si="95"/>
        <v>0</v>
      </c>
      <c r="AS218" s="2">
        <f t="shared" si="95"/>
        <v>0</v>
      </c>
      <c r="AT218" s="2">
        <f t="shared" si="95"/>
        <v>3.0006844626967832</v>
      </c>
      <c r="AU218" s="2">
        <f t="shared" si="95"/>
        <v>0</v>
      </c>
      <c r="AV218" s="2">
        <f t="shared" si="95"/>
        <v>0</v>
      </c>
      <c r="AW218" s="2">
        <f t="shared" si="95"/>
        <v>3.2525667351129361</v>
      </c>
      <c r="AX218" s="2">
        <f t="shared" si="95"/>
        <v>0</v>
      </c>
      <c r="AY218" s="2">
        <f t="shared" si="95"/>
        <v>0</v>
      </c>
      <c r="AZ218" s="2">
        <f t="shared" si="95"/>
        <v>3.5044490075290895</v>
      </c>
      <c r="BA218" s="2">
        <f t="shared" si="95"/>
        <v>0</v>
      </c>
      <c r="BB218" s="2">
        <f t="shared" si="95"/>
        <v>0</v>
      </c>
      <c r="BC218" s="2">
        <f t="shared" si="95"/>
        <v>3.7568455640744798</v>
      </c>
      <c r="BD218" s="2">
        <f t="shared" si="95"/>
        <v>0</v>
      </c>
      <c r="BE218" s="2">
        <f t="shared" si="95"/>
        <v>0</v>
      </c>
      <c r="BF218" s="2">
        <f t="shared" si="95"/>
        <v>4.0005476451259581</v>
      </c>
      <c r="BG218" s="2">
        <f t="shared" si="95"/>
        <v>0</v>
      </c>
      <c r="BH218" s="2">
        <f t="shared" si="95"/>
        <v>0</v>
      </c>
      <c r="BI218" s="2">
        <f t="shared" si="95"/>
        <v>4.2524644030668126</v>
      </c>
      <c r="BJ218" s="2">
        <f t="shared" si="95"/>
        <v>0</v>
      </c>
      <c r="BK218" s="2">
        <f t="shared" si="95"/>
        <v>0</v>
      </c>
      <c r="BL218" s="2">
        <f t="shared" si="95"/>
        <v>4.5043811610076672</v>
      </c>
      <c r="BM218" s="2">
        <f t="shared" si="95"/>
        <v>0</v>
      </c>
      <c r="BN218" s="2">
        <f t="shared" si="95"/>
        <v>0</v>
      </c>
      <c r="BO218" s="2">
        <f t="shared" si="95"/>
        <v>4.7545620437956204</v>
      </c>
      <c r="BP218" s="2">
        <f t="shared" si="95"/>
        <v>0</v>
      </c>
      <c r="BQ218" s="2">
        <f t="shared" si="95"/>
        <v>0</v>
      </c>
    </row>
    <row r="219" spans="1:69" outlineLevel="1"/>
    <row r="220" spans="1:69" outlineLevel="1"/>
    <row r="221" spans="1:69" outlineLevel="1">
      <c r="B221" s="25" t="s">
        <v>55</v>
      </c>
    </row>
    <row r="222" spans="1:69" outlineLevel="2">
      <c r="A222" s="18"/>
      <c r="B222" s="18"/>
      <c r="C222" s="28"/>
      <c r="D222" s="27"/>
      <c r="E222" s="42" t="str">
        <f xml:space="preserve">  InpC!E$26</f>
        <v>Fixed Operating Cost Growth Rate annual start escalation rate</v>
      </c>
      <c r="F222" s="42">
        <f xml:space="preserve">  InpC!F$26</f>
        <v>0.1</v>
      </c>
      <c r="G222" s="42" t="str">
        <f xml:space="preserve">  InpC!G$26</f>
        <v>%</v>
      </c>
      <c r="M222" s="57"/>
    </row>
    <row r="223" spans="1:69" outlineLevel="2">
      <c r="E223" s="2" t="str">
        <f t="shared" ref="E223:BQ223" si="96" xml:space="preserve">  E$218</f>
        <v>years since Fixed Operating Cost Growth Rate base date</v>
      </c>
      <c r="F223" s="2">
        <f t="shared" si="96"/>
        <v>0</v>
      </c>
      <c r="G223" s="2">
        <f t="shared" si="96"/>
        <v>0</v>
      </c>
      <c r="H223" s="2">
        <f t="shared" si="96"/>
        <v>47.569222418152265</v>
      </c>
      <c r="I223" s="2">
        <f t="shared" si="96"/>
        <v>0</v>
      </c>
      <c r="J223" s="2">
        <f t="shared" si="96"/>
        <v>0</v>
      </c>
      <c r="K223" s="2">
        <f t="shared" si="96"/>
        <v>0</v>
      </c>
      <c r="L223" s="2">
        <f t="shared" si="96"/>
        <v>0</v>
      </c>
      <c r="M223" s="2">
        <f t="shared" si="96"/>
        <v>0.25205479452054796</v>
      </c>
      <c r="N223" s="2">
        <f t="shared" si="96"/>
        <v>0</v>
      </c>
      <c r="O223" s="2">
        <f t="shared" si="96"/>
        <v>0</v>
      </c>
      <c r="P223" s="2">
        <f t="shared" si="96"/>
        <v>0.50410958904109593</v>
      </c>
      <c r="Q223" s="2">
        <f t="shared" si="96"/>
        <v>0</v>
      </c>
      <c r="R223" s="2">
        <f t="shared" si="96"/>
        <v>0</v>
      </c>
      <c r="S223" s="2">
        <f t="shared" si="96"/>
        <v>0.75616438356164384</v>
      </c>
      <c r="T223" s="2">
        <f t="shared" si="96"/>
        <v>0</v>
      </c>
      <c r="U223" s="2">
        <f t="shared" si="96"/>
        <v>0</v>
      </c>
      <c r="V223" s="2">
        <f t="shared" si="96"/>
        <v>1</v>
      </c>
      <c r="W223" s="2">
        <f t="shared" si="96"/>
        <v>0</v>
      </c>
      <c r="X223" s="2">
        <f t="shared" si="96"/>
        <v>0</v>
      </c>
      <c r="Y223" s="2">
        <f t="shared" si="96"/>
        <v>1.2530779753761969</v>
      </c>
      <c r="Z223" s="2">
        <f t="shared" si="96"/>
        <v>0</v>
      </c>
      <c r="AA223" s="2">
        <f t="shared" si="96"/>
        <v>0</v>
      </c>
      <c r="AB223" s="2">
        <f t="shared" si="96"/>
        <v>1.5047879616963065</v>
      </c>
      <c r="AC223" s="2">
        <f t="shared" si="96"/>
        <v>0</v>
      </c>
      <c r="AD223" s="2">
        <f t="shared" si="96"/>
        <v>0</v>
      </c>
      <c r="AE223" s="2">
        <f t="shared" si="96"/>
        <v>1.7572992700729928</v>
      </c>
      <c r="AF223" s="2">
        <f t="shared" si="96"/>
        <v>0</v>
      </c>
      <c r="AG223" s="2">
        <f t="shared" si="96"/>
        <v>0</v>
      </c>
      <c r="AH223" s="2">
        <f t="shared" si="96"/>
        <v>2.0009124087591244</v>
      </c>
      <c r="AI223" s="2">
        <f t="shared" si="96"/>
        <v>0</v>
      </c>
      <c r="AJ223" s="2">
        <f t="shared" si="96"/>
        <v>0</v>
      </c>
      <c r="AK223" s="2">
        <f t="shared" si="96"/>
        <v>2.2527372262773722</v>
      </c>
      <c r="AL223" s="2">
        <f t="shared" si="96"/>
        <v>0</v>
      </c>
      <c r="AM223" s="2">
        <f t="shared" si="96"/>
        <v>0</v>
      </c>
      <c r="AN223" s="2">
        <f t="shared" si="96"/>
        <v>2.5045620437956204</v>
      </c>
      <c r="AO223" s="2">
        <f t="shared" si="96"/>
        <v>0</v>
      </c>
      <c r="AP223" s="2">
        <f t="shared" si="96"/>
        <v>0</v>
      </c>
      <c r="AQ223" s="2">
        <f t="shared" si="96"/>
        <v>2.7570157426420261</v>
      </c>
      <c r="AR223" s="2">
        <f t="shared" si="96"/>
        <v>0</v>
      </c>
      <c r="AS223" s="2">
        <f t="shared" si="96"/>
        <v>0</v>
      </c>
      <c r="AT223" s="2">
        <f t="shared" si="96"/>
        <v>3.0006844626967832</v>
      </c>
      <c r="AU223" s="2">
        <f t="shared" si="96"/>
        <v>0</v>
      </c>
      <c r="AV223" s="2">
        <f t="shared" si="96"/>
        <v>0</v>
      </c>
      <c r="AW223" s="2">
        <f t="shared" si="96"/>
        <v>3.2525667351129361</v>
      </c>
      <c r="AX223" s="2">
        <f t="shared" si="96"/>
        <v>0</v>
      </c>
      <c r="AY223" s="2">
        <f t="shared" si="96"/>
        <v>0</v>
      </c>
      <c r="AZ223" s="2">
        <f t="shared" si="96"/>
        <v>3.5044490075290895</v>
      </c>
      <c r="BA223" s="2">
        <f t="shared" si="96"/>
        <v>0</v>
      </c>
      <c r="BB223" s="2">
        <f t="shared" si="96"/>
        <v>0</v>
      </c>
      <c r="BC223" s="2">
        <f t="shared" si="96"/>
        <v>3.7568455640744798</v>
      </c>
      <c r="BD223" s="2">
        <f t="shared" si="96"/>
        <v>0</v>
      </c>
      <c r="BE223" s="2">
        <f t="shared" si="96"/>
        <v>0</v>
      </c>
      <c r="BF223" s="2">
        <f t="shared" si="96"/>
        <v>4.0005476451259581</v>
      </c>
      <c r="BG223" s="2">
        <f t="shared" si="96"/>
        <v>0</v>
      </c>
      <c r="BH223" s="2">
        <f t="shared" si="96"/>
        <v>0</v>
      </c>
      <c r="BI223" s="2">
        <f t="shared" si="96"/>
        <v>4.2524644030668126</v>
      </c>
      <c r="BJ223" s="2">
        <f t="shared" si="96"/>
        <v>0</v>
      </c>
      <c r="BK223" s="2">
        <f t="shared" si="96"/>
        <v>0</v>
      </c>
      <c r="BL223" s="2">
        <f t="shared" si="96"/>
        <v>4.5043811610076672</v>
      </c>
      <c r="BM223" s="2">
        <f t="shared" si="96"/>
        <v>0</v>
      </c>
      <c r="BN223" s="2">
        <f t="shared" si="96"/>
        <v>0</v>
      </c>
      <c r="BO223" s="2">
        <f t="shared" si="96"/>
        <v>4.7545620437956204</v>
      </c>
      <c r="BP223" s="2">
        <f t="shared" si="96"/>
        <v>0</v>
      </c>
      <c r="BQ223" s="2">
        <f t="shared" si="96"/>
        <v>0</v>
      </c>
    </row>
    <row r="224" spans="1:69" outlineLevel="2">
      <c r="E224" s="2" t="str">
        <f t="shared" ref="E224:BQ224" si="97" xml:space="preserve">  E$177</f>
        <v>Fixed Operating Cost Growth Rate escalation duration flag</v>
      </c>
      <c r="F224" s="2">
        <f t="shared" si="97"/>
        <v>0</v>
      </c>
      <c r="G224" s="2" t="str">
        <f t="shared" si="97"/>
        <v>flag</v>
      </c>
      <c r="H224" s="2">
        <f t="shared" si="97"/>
        <v>60</v>
      </c>
      <c r="I224" s="2">
        <f t="shared" si="97"/>
        <v>0</v>
      </c>
      <c r="J224" s="2">
        <f t="shared" si="97"/>
        <v>1</v>
      </c>
      <c r="K224" s="2">
        <f t="shared" si="97"/>
        <v>1</v>
      </c>
      <c r="L224" s="2">
        <f t="shared" si="97"/>
        <v>1</v>
      </c>
      <c r="M224" s="2">
        <f t="shared" si="97"/>
        <v>1</v>
      </c>
      <c r="N224" s="2">
        <f t="shared" si="97"/>
        <v>1</v>
      </c>
      <c r="O224" s="2">
        <f t="shared" si="97"/>
        <v>1</v>
      </c>
      <c r="P224" s="2">
        <f t="shared" si="97"/>
        <v>1</v>
      </c>
      <c r="Q224" s="2">
        <f t="shared" si="97"/>
        <v>1</v>
      </c>
      <c r="R224" s="2">
        <f t="shared" si="97"/>
        <v>1</v>
      </c>
      <c r="S224" s="2">
        <f t="shared" si="97"/>
        <v>1</v>
      </c>
      <c r="T224" s="2">
        <f t="shared" si="97"/>
        <v>1</v>
      </c>
      <c r="U224" s="2">
        <f t="shared" si="97"/>
        <v>1</v>
      </c>
      <c r="V224" s="2">
        <f t="shared" si="97"/>
        <v>1</v>
      </c>
      <c r="W224" s="2">
        <f t="shared" si="97"/>
        <v>1</v>
      </c>
      <c r="X224" s="2">
        <f t="shared" si="97"/>
        <v>1</v>
      </c>
      <c r="Y224" s="2">
        <f t="shared" si="97"/>
        <v>1</v>
      </c>
      <c r="Z224" s="2">
        <f t="shared" si="97"/>
        <v>1</v>
      </c>
      <c r="AA224" s="2">
        <f t="shared" si="97"/>
        <v>1</v>
      </c>
      <c r="AB224" s="2">
        <f t="shared" si="97"/>
        <v>1</v>
      </c>
      <c r="AC224" s="2">
        <f t="shared" si="97"/>
        <v>1</v>
      </c>
      <c r="AD224" s="2">
        <f t="shared" si="97"/>
        <v>1</v>
      </c>
      <c r="AE224" s="2">
        <f t="shared" si="97"/>
        <v>1</v>
      </c>
      <c r="AF224" s="2">
        <f t="shared" si="97"/>
        <v>1</v>
      </c>
      <c r="AG224" s="2">
        <f t="shared" si="97"/>
        <v>1</v>
      </c>
      <c r="AH224" s="2">
        <f t="shared" si="97"/>
        <v>1</v>
      </c>
      <c r="AI224" s="2">
        <f t="shared" si="97"/>
        <v>1</v>
      </c>
      <c r="AJ224" s="2">
        <f t="shared" si="97"/>
        <v>1</v>
      </c>
      <c r="AK224" s="2">
        <f t="shared" si="97"/>
        <v>1</v>
      </c>
      <c r="AL224" s="2">
        <f t="shared" si="97"/>
        <v>1</v>
      </c>
      <c r="AM224" s="2">
        <f t="shared" si="97"/>
        <v>1</v>
      </c>
      <c r="AN224" s="2">
        <f t="shared" si="97"/>
        <v>1</v>
      </c>
      <c r="AO224" s="2">
        <f t="shared" si="97"/>
        <v>1</v>
      </c>
      <c r="AP224" s="2">
        <f t="shared" si="97"/>
        <v>1</v>
      </c>
      <c r="AQ224" s="2">
        <f t="shared" si="97"/>
        <v>1</v>
      </c>
      <c r="AR224" s="2">
        <f t="shared" si="97"/>
        <v>1</v>
      </c>
      <c r="AS224" s="2">
        <f t="shared" si="97"/>
        <v>1</v>
      </c>
      <c r="AT224" s="2">
        <f t="shared" si="97"/>
        <v>1</v>
      </c>
      <c r="AU224" s="2">
        <f t="shared" si="97"/>
        <v>1</v>
      </c>
      <c r="AV224" s="2">
        <f t="shared" si="97"/>
        <v>1</v>
      </c>
      <c r="AW224" s="2">
        <f t="shared" si="97"/>
        <v>1</v>
      </c>
      <c r="AX224" s="2">
        <f t="shared" si="97"/>
        <v>1</v>
      </c>
      <c r="AY224" s="2">
        <f t="shared" si="97"/>
        <v>1</v>
      </c>
      <c r="AZ224" s="2">
        <f t="shared" si="97"/>
        <v>1</v>
      </c>
      <c r="BA224" s="2">
        <f t="shared" si="97"/>
        <v>1</v>
      </c>
      <c r="BB224" s="2">
        <f t="shared" si="97"/>
        <v>1</v>
      </c>
      <c r="BC224" s="2">
        <f t="shared" si="97"/>
        <v>1</v>
      </c>
      <c r="BD224" s="2">
        <f t="shared" si="97"/>
        <v>1</v>
      </c>
      <c r="BE224" s="2">
        <f t="shared" si="97"/>
        <v>1</v>
      </c>
      <c r="BF224" s="2">
        <f t="shared" si="97"/>
        <v>1</v>
      </c>
      <c r="BG224" s="2">
        <f t="shared" si="97"/>
        <v>1</v>
      </c>
      <c r="BH224" s="2">
        <f t="shared" si="97"/>
        <v>1</v>
      </c>
      <c r="BI224" s="2">
        <f t="shared" si="97"/>
        <v>1</v>
      </c>
      <c r="BJ224" s="2">
        <f t="shared" si="97"/>
        <v>1</v>
      </c>
      <c r="BK224" s="2">
        <f t="shared" si="97"/>
        <v>1</v>
      </c>
      <c r="BL224" s="2">
        <f t="shared" si="97"/>
        <v>1</v>
      </c>
      <c r="BM224" s="2">
        <f t="shared" si="97"/>
        <v>1</v>
      </c>
      <c r="BN224" s="2">
        <f t="shared" si="97"/>
        <v>1</v>
      </c>
      <c r="BO224" s="2">
        <f t="shared" si="97"/>
        <v>1</v>
      </c>
      <c r="BP224" s="2">
        <f t="shared" si="97"/>
        <v>1</v>
      </c>
      <c r="BQ224" s="2">
        <f t="shared" si="97"/>
        <v>1</v>
      </c>
    </row>
    <row r="225" spans="1:69" outlineLevel="2">
      <c r="E225" s="2" t="str">
        <f t="shared" ref="E225:BQ225" si="98" xml:space="preserve">  E$204</f>
        <v>Fixed Operating Cost Growth Rate escalation step up frequency flag</v>
      </c>
      <c r="F225" s="2">
        <f t="shared" si="98"/>
        <v>0</v>
      </c>
      <c r="G225" s="2" t="str">
        <f t="shared" si="98"/>
        <v>flag</v>
      </c>
      <c r="H225" s="2">
        <f t="shared" si="98"/>
        <v>20</v>
      </c>
      <c r="I225" s="2">
        <f t="shared" si="98"/>
        <v>0</v>
      </c>
      <c r="J225" s="2">
        <f t="shared" si="98"/>
        <v>1</v>
      </c>
      <c r="K225" s="2">
        <f t="shared" si="98"/>
        <v>0</v>
      </c>
      <c r="L225" s="2">
        <f t="shared" si="98"/>
        <v>0</v>
      </c>
      <c r="M225" s="2">
        <f t="shared" si="98"/>
        <v>1</v>
      </c>
      <c r="N225" s="2">
        <f t="shared" si="98"/>
        <v>0</v>
      </c>
      <c r="O225" s="2">
        <f t="shared" si="98"/>
        <v>0</v>
      </c>
      <c r="P225" s="2">
        <f t="shared" si="98"/>
        <v>1</v>
      </c>
      <c r="Q225" s="2">
        <f t="shared" si="98"/>
        <v>0</v>
      </c>
      <c r="R225" s="2">
        <f t="shared" si="98"/>
        <v>0</v>
      </c>
      <c r="S225" s="2">
        <f t="shared" si="98"/>
        <v>1</v>
      </c>
      <c r="T225" s="2">
        <f t="shared" si="98"/>
        <v>0</v>
      </c>
      <c r="U225" s="2">
        <f t="shared" si="98"/>
        <v>0</v>
      </c>
      <c r="V225" s="2">
        <f t="shared" si="98"/>
        <v>1</v>
      </c>
      <c r="W225" s="2">
        <f t="shared" si="98"/>
        <v>0</v>
      </c>
      <c r="X225" s="2">
        <f t="shared" si="98"/>
        <v>0</v>
      </c>
      <c r="Y225" s="2">
        <f t="shared" si="98"/>
        <v>1</v>
      </c>
      <c r="Z225" s="2">
        <f t="shared" si="98"/>
        <v>0</v>
      </c>
      <c r="AA225" s="2">
        <f t="shared" si="98"/>
        <v>0</v>
      </c>
      <c r="AB225" s="2">
        <f t="shared" si="98"/>
        <v>1</v>
      </c>
      <c r="AC225" s="2">
        <f t="shared" si="98"/>
        <v>0</v>
      </c>
      <c r="AD225" s="2">
        <f t="shared" si="98"/>
        <v>0</v>
      </c>
      <c r="AE225" s="2">
        <f t="shared" si="98"/>
        <v>1</v>
      </c>
      <c r="AF225" s="2">
        <f t="shared" si="98"/>
        <v>0</v>
      </c>
      <c r="AG225" s="2">
        <f t="shared" si="98"/>
        <v>0</v>
      </c>
      <c r="AH225" s="2">
        <f t="shared" si="98"/>
        <v>1</v>
      </c>
      <c r="AI225" s="2">
        <f t="shared" si="98"/>
        <v>0</v>
      </c>
      <c r="AJ225" s="2">
        <f t="shared" si="98"/>
        <v>0</v>
      </c>
      <c r="AK225" s="2">
        <f t="shared" si="98"/>
        <v>1</v>
      </c>
      <c r="AL225" s="2">
        <f t="shared" si="98"/>
        <v>0</v>
      </c>
      <c r="AM225" s="2">
        <f t="shared" si="98"/>
        <v>0</v>
      </c>
      <c r="AN225" s="2">
        <f t="shared" si="98"/>
        <v>1</v>
      </c>
      <c r="AO225" s="2">
        <f t="shared" si="98"/>
        <v>0</v>
      </c>
      <c r="AP225" s="2">
        <f t="shared" si="98"/>
        <v>0</v>
      </c>
      <c r="AQ225" s="2">
        <f t="shared" si="98"/>
        <v>1</v>
      </c>
      <c r="AR225" s="2">
        <f t="shared" si="98"/>
        <v>0</v>
      </c>
      <c r="AS225" s="2">
        <f t="shared" si="98"/>
        <v>0</v>
      </c>
      <c r="AT225" s="2">
        <f t="shared" si="98"/>
        <v>1</v>
      </c>
      <c r="AU225" s="2">
        <f t="shared" si="98"/>
        <v>0</v>
      </c>
      <c r="AV225" s="2">
        <f t="shared" si="98"/>
        <v>0</v>
      </c>
      <c r="AW225" s="2">
        <f t="shared" si="98"/>
        <v>1</v>
      </c>
      <c r="AX225" s="2">
        <f t="shared" si="98"/>
        <v>0</v>
      </c>
      <c r="AY225" s="2">
        <f t="shared" si="98"/>
        <v>0</v>
      </c>
      <c r="AZ225" s="2">
        <f t="shared" si="98"/>
        <v>1</v>
      </c>
      <c r="BA225" s="2">
        <f t="shared" si="98"/>
        <v>0</v>
      </c>
      <c r="BB225" s="2">
        <f t="shared" si="98"/>
        <v>0</v>
      </c>
      <c r="BC225" s="2">
        <f t="shared" si="98"/>
        <v>1</v>
      </c>
      <c r="BD225" s="2">
        <f t="shared" si="98"/>
        <v>0</v>
      </c>
      <c r="BE225" s="2">
        <f t="shared" si="98"/>
        <v>0</v>
      </c>
      <c r="BF225" s="2">
        <f t="shared" si="98"/>
        <v>1</v>
      </c>
      <c r="BG225" s="2">
        <f t="shared" si="98"/>
        <v>0</v>
      </c>
      <c r="BH225" s="2">
        <f t="shared" si="98"/>
        <v>0</v>
      </c>
      <c r="BI225" s="2">
        <f t="shared" si="98"/>
        <v>1</v>
      </c>
      <c r="BJ225" s="2">
        <f t="shared" si="98"/>
        <v>0</v>
      </c>
      <c r="BK225" s="2">
        <f t="shared" si="98"/>
        <v>0</v>
      </c>
      <c r="BL225" s="2">
        <f t="shared" si="98"/>
        <v>1</v>
      </c>
      <c r="BM225" s="2">
        <f t="shared" si="98"/>
        <v>0</v>
      </c>
      <c r="BN225" s="2">
        <f t="shared" si="98"/>
        <v>0</v>
      </c>
      <c r="BO225" s="2">
        <f t="shared" si="98"/>
        <v>1</v>
      </c>
      <c r="BP225" s="2">
        <f t="shared" si="98"/>
        <v>0</v>
      </c>
      <c r="BQ225" s="2">
        <f t="shared" si="98"/>
        <v>0</v>
      </c>
    </row>
    <row r="226" spans="1:69" outlineLevel="2">
      <c r="A226" s="34"/>
      <c r="B226" s="34"/>
      <c r="C226" s="64"/>
      <c r="D226" s="65"/>
      <c r="E226" s="21" t="s">
        <v>55</v>
      </c>
      <c r="F226" s="21"/>
      <c r="G226" s="21" t="s">
        <v>38</v>
      </c>
      <c r="H226" s="21"/>
      <c r="I226" s="21"/>
      <c r="J226" s="38">
        <f t="shared" ref="J226:BQ226" si="99" xml:space="preserve">  IF( J224 = 0, 1, IF( J225 = 1, ( 1 + $F222 ) ^ J223, I226 ) )</f>
        <v>1</v>
      </c>
      <c r="K226" s="38">
        <f t="shared" si="99"/>
        <v>1</v>
      </c>
      <c r="L226" s="38">
        <f t="shared" si="99"/>
        <v>1</v>
      </c>
      <c r="M226" s="38">
        <f t="shared" si="99"/>
        <v>1.0243142740538207</v>
      </c>
      <c r="N226" s="38">
        <f t="shared" si="99"/>
        <v>1.0243142740538207</v>
      </c>
      <c r="O226" s="38">
        <f t="shared" si="99"/>
        <v>1.0243142740538207</v>
      </c>
      <c r="P226" s="38">
        <f t="shared" si="99"/>
        <v>1.0492197320304057</v>
      </c>
      <c r="Q226" s="38">
        <f t="shared" si="99"/>
        <v>1.0492197320304057</v>
      </c>
      <c r="R226" s="38">
        <f t="shared" si="99"/>
        <v>1.0492197320304057</v>
      </c>
      <c r="S226" s="38">
        <f t="shared" si="99"/>
        <v>1.0747307481376693</v>
      </c>
      <c r="T226" s="38">
        <f t="shared" si="99"/>
        <v>1.0747307481376693</v>
      </c>
      <c r="U226" s="38">
        <f t="shared" si="99"/>
        <v>1.0747307481376693</v>
      </c>
      <c r="V226" s="38">
        <f t="shared" si="99"/>
        <v>1.1000000000000001</v>
      </c>
      <c r="W226" s="38">
        <f t="shared" si="99"/>
        <v>1.1000000000000001</v>
      </c>
      <c r="X226" s="38">
        <f t="shared" si="99"/>
        <v>1.1000000000000001</v>
      </c>
      <c r="Y226" s="38">
        <f t="shared" si="99"/>
        <v>1.1268555865523511</v>
      </c>
      <c r="Z226" s="38">
        <f t="shared" si="99"/>
        <v>1.1268555865523511</v>
      </c>
      <c r="AA226" s="38">
        <f t="shared" si="99"/>
        <v>1.1268555865523511</v>
      </c>
      <c r="AB226" s="38">
        <f t="shared" si="99"/>
        <v>1.1542163296239218</v>
      </c>
      <c r="AC226" s="38">
        <f t="shared" si="99"/>
        <v>1.1542163296239218</v>
      </c>
      <c r="AD226" s="38">
        <f t="shared" si="99"/>
        <v>1.1542163296239218</v>
      </c>
      <c r="AE226" s="38">
        <f t="shared" si="99"/>
        <v>1.1823317044069723</v>
      </c>
      <c r="AF226" s="38">
        <f t="shared" si="99"/>
        <v>1.1823317044069723</v>
      </c>
      <c r="AG226" s="38">
        <f t="shared" si="99"/>
        <v>1.1823317044069723</v>
      </c>
      <c r="AH226" s="38">
        <f t="shared" si="99"/>
        <v>1.2101052284052554</v>
      </c>
      <c r="AI226" s="38">
        <f t="shared" si="99"/>
        <v>1.2101052284052554</v>
      </c>
      <c r="AJ226" s="38">
        <f t="shared" si="99"/>
        <v>1.2101052284052554</v>
      </c>
      <c r="AK226" s="38">
        <f t="shared" si="99"/>
        <v>1.2395008894596742</v>
      </c>
      <c r="AL226" s="38">
        <f t="shared" si="99"/>
        <v>1.2395008894596742</v>
      </c>
      <c r="AM226" s="38">
        <f t="shared" si="99"/>
        <v>1.2395008894596742</v>
      </c>
      <c r="AN226" s="38">
        <f t="shared" si="99"/>
        <v>1.2696106246859442</v>
      </c>
      <c r="AO226" s="38">
        <f t="shared" si="99"/>
        <v>1.2696106246859442</v>
      </c>
      <c r="AP226" s="38">
        <f t="shared" si="99"/>
        <v>1.2696106246859442</v>
      </c>
      <c r="AQ226" s="38">
        <f t="shared" si="99"/>
        <v>1.3005297300923371</v>
      </c>
      <c r="AR226" s="38">
        <f t="shared" si="99"/>
        <v>1.3005297300923371</v>
      </c>
      <c r="AS226" s="38">
        <f t="shared" si="99"/>
        <v>1.3005297300923371</v>
      </c>
      <c r="AT226" s="38">
        <f t="shared" si="99"/>
        <v>1.3310868322979301</v>
      </c>
      <c r="AU226" s="38">
        <f t="shared" si="99"/>
        <v>1.3310868322979301</v>
      </c>
      <c r="AV226" s="38">
        <f t="shared" si="99"/>
        <v>1.3310868322979301</v>
      </c>
      <c r="AW226" s="38">
        <f t="shared" si="99"/>
        <v>1.3634288231296141</v>
      </c>
      <c r="AX226" s="38">
        <f t="shared" si="99"/>
        <v>1.3634288231296141</v>
      </c>
      <c r="AY226" s="38">
        <f t="shared" si="99"/>
        <v>1.3634288231296141</v>
      </c>
      <c r="AZ226" s="38">
        <f t="shared" si="99"/>
        <v>1.396556641260897</v>
      </c>
      <c r="BA226" s="38">
        <f t="shared" si="99"/>
        <v>1.396556641260897</v>
      </c>
      <c r="BB226" s="38">
        <f t="shared" si="99"/>
        <v>1.396556641260897</v>
      </c>
      <c r="BC226" s="38">
        <f t="shared" si="99"/>
        <v>1.4305594995961339</v>
      </c>
      <c r="BD226" s="38">
        <f t="shared" si="99"/>
        <v>1.4305594995961339</v>
      </c>
      <c r="BE226" s="38">
        <f t="shared" si="99"/>
        <v>1.4305594995961339</v>
      </c>
      <c r="BF226" s="38">
        <f t="shared" si="99"/>
        <v>1.4641764223856168</v>
      </c>
      <c r="BG226" s="38">
        <f t="shared" si="99"/>
        <v>1.4641764223856168</v>
      </c>
      <c r="BH226" s="38">
        <f t="shared" si="99"/>
        <v>1.4641764223856168</v>
      </c>
      <c r="BI226" s="38">
        <f t="shared" si="99"/>
        <v>1.4997570778119578</v>
      </c>
      <c r="BJ226" s="38">
        <f t="shared" si="99"/>
        <v>1.4997570778119578</v>
      </c>
      <c r="BK226" s="38">
        <f t="shared" si="99"/>
        <v>1.4997570778119578</v>
      </c>
      <c r="BL226" s="38">
        <f t="shared" si="99"/>
        <v>1.5362023715572966</v>
      </c>
      <c r="BM226" s="38">
        <f t="shared" si="99"/>
        <v>1.5362023715572966</v>
      </c>
      <c r="BN226" s="38">
        <f t="shared" si="99"/>
        <v>1.5362023715572966</v>
      </c>
      <c r="BO226" s="38">
        <f t="shared" si="99"/>
        <v>1.5732730008629947</v>
      </c>
      <c r="BP226" s="38">
        <f t="shared" si="99"/>
        <v>1.5732730008629947</v>
      </c>
      <c r="BQ226" s="38">
        <f t="shared" si="99"/>
        <v>1.5732730008629947</v>
      </c>
    </row>
    <row r="227" spans="1:69" outlineLevel="1"/>
    <row r="229" spans="1:69">
      <c r="A229" s="25" t="s">
        <v>56</v>
      </c>
    </row>
    <row r="230" spans="1:69" outlineLevel="1">
      <c r="B230" s="25" t="s">
        <v>9</v>
      </c>
    </row>
    <row r="231" spans="1:69" outlineLevel="2">
      <c r="A231" s="18"/>
      <c r="B231" s="18"/>
      <c r="C231" s="28"/>
      <c r="D231" s="27"/>
      <c r="E231" s="20" t="str">
        <f xml:space="preserve">  InpC!E$68</f>
        <v>Supply Chain Finance enabled beginning date</v>
      </c>
      <c r="F231" s="20">
        <f xml:space="preserve">  InpC!F$68</f>
        <v>45078</v>
      </c>
      <c r="G231" s="20" t="str">
        <f xml:space="preserve">  InpC!G$68</f>
        <v>date</v>
      </c>
      <c r="M231" s="8"/>
    </row>
    <row r="232" spans="1:69" outlineLevel="2">
      <c r="A232" s="18"/>
      <c r="B232" s="18"/>
      <c r="C232" s="28"/>
      <c r="D232" s="27"/>
      <c r="E232" s="20" t="str">
        <f xml:space="preserve">  InpC!E$67</f>
        <v>Supply Chain Finance enabled end date</v>
      </c>
      <c r="F232" s="20">
        <f xml:space="preserve">  InpC!F$67</f>
        <v>45809</v>
      </c>
      <c r="G232" s="20" t="str">
        <f xml:space="preserve">  InpC!G$67</f>
        <v>date</v>
      </c>
      <c r="M232" s="8"/>
    </row>
    <row r="233" spans="1:69" outlineLevel="2">
      <c r="E233" s="8" t="str">
        <f t="shared" ref="E233:BQ233" si="100" xml:space="preserve">  E$19</f>
        <v>Model period end</v>
      </c>
      <c r="F233" s="8">
        <f t="shared" si="100"/>
        <v>0</v>
      </c>
      <c r="G233" s="8" t="str">
        <f t="shared" si="100"/>
        <v>date</v>
      </c>
      <c r="H233" s="8">
        <f t="shared" si="100"/>
        <v>0</v>
      </c>
      <c r="I233" s="8">
        <f t="shared" si="100"/>
        <v>0</v>
      </c>
      <c r="J233" s="8">
        <f t="shared" si="100"/>
        <v>45077</v>
      </c>
      <c r="K233" s="8">
        <f t="shared" si="100"/>
        <v>45107</v>
      </c>
      <c r="L233" s="8">
        <f t="shared" si="100"/>
        <v>45138</v>
      </c>
      <c r="M233" s="8">
        <f t="shared" si="100"/>
        <v>45169</v>
      </c>
      <c r="N233" s="8">
        <f t="shared" si="100"/>
        <v>45199</v>
      </c>
      <c r="O233" s="8">
        <f t="shared" si="100"/>
        <v>45230</v>
      </c>
      <c r="P233" s="8">
        <f t="shared" si="100"/>
        <v>45260</v>
      </c>
      <c r="Q233" s="8">
        <f t="shared" si="100"/>
        <v>45291</v>
      </c>
      <c r="R233" s="8">
        <f t="shared" si="100"/>
        <v>45322</v>
      </c>
      <c r="S233" s="8">
        <f t="shared" si="100"/>
        <v>45351</v>
      </c>
      <c r="T233" s="8">
        <f t="shared" si="100"/>
        <v>45382</v>
      </c>
      <c r="U233" s="8">
        <f t="shared" si="100"/>
        <v>45412</v>
      </c>
      <c r="V233" s="8">
        <f t="shared" si="100"/>
        <v>45443</v>
      </c>
      <c r="W233" s="8">
        <f t="shared" si="100"/>
        <v>45473</v>
      </c>
      <c r="X233" s="8">
        <f t="shared" si="100"/>
        <v>45504</v>
      </c>
      <c r="Y233" s="8">
        <f t="shared" si="100"/>
        <v>45535</v>
      </c>
      <c r="Z233" s="8">
        <f t="shared" si="100"/>
        <v>45565</v>
      </c>
      <c r="AA233" s="8">
        <f t="shared" si="100"/>
        <v>45596</v>
      </c>
      <c r="AB233" s="8">
        <f t="shared" si="100"/>
        <v>45626</v>
      </c>
      <c r="AC233" s="8">
        <f t="shared" si="100"/>
        <v>45657</v>
      </c>
      <c r="AD233" s="8">
        <f t="shared" si="100"/>
        <v>45688</v>
      </c>
      <c r="AE233" s="8">
        <f t="shared" si="100"/>
        <v>45716</v>
      </c>
      <c r="AF233" s="8">
        <f t="shared" si="100"/>
        <v>45747</v>
      </c>
      <c r="AG233" s="8">
        <f t="shared" si="100"/>
        <v>45777</v>
      </c>
      <c r="AH233" s="8">
        <f t="shared" si="100"/>
        <v>45808</v>
      </c>
      <c r="AI233" s="8">
        <f t="shared" si="100"/>
        <v>45838</v>
      </c>
      <c r="AJ233" s="8">
        <f t="shared" si="100"/>
        <v>45869</v>
      </c>
      <c r="AK233" s="8">
        <f t="shared" si="100"/>
        <v>45900</v>
      </c>
      <c r="AL233" s="8">
        <f t="shared" si="100"/>
        <v>45930</v>
      </c>
      <c r="AM233" s="8">
        <f t="shared" si="100"/>
        <v>45961</v>
      </c>
      <c r="AN233" s="8">
        <f t="shared" si="100"/>
        <v>45991</v>
      </c>
      <c r="AO233" s="8">
        <f t="shared" si="100"/>
        <v>46022</v>
      </c>
      <c r="AP233" s="8">
        <f t="shared" si="100"/>
        <v>46053</v>
      </c>
      <c r="AQ233" s="8">
        <f t="shared" si="100"/>
        <v>46081</v>
      </c>
      <c r="AR233" s="8">
        <f t="shared" si="100"/>
        <v>46112</v>
      </c>
      <c r="AS233" s="8">
        <f t="shared" si="100"/>
        <v>46142</v>
      </c>
      <c r="AT233" s="8">
        <f t="shared" si="100"/>
        <v>46173</v>
      </c>
      <c r="AU233" s="8">
        <f t="shared" si="100"/>
        <v>46203</v>
      </c>
      <c r="AV233" s="8">
        <f t="shared" si="100"/>
        <v>46234</v>
      </c>
      <c r="AW233" s="8">
        <f t="shared" si="100"/>
        <v>46265</v>
      </c>
      <c r="AX233" s="8">
        <f t="shared" si="100"/>
        <v>46295</v>
      </c>
      <c r="AY233" s="8">
        <f t="shared" si="100"/>
        <v>46326</v>
      </c>
      <c r="AZ233" s="8">
        <f t="shared" si="100"/>
        <v>46356</v>
      </c>
      <c r="BA233" s="8">
        <f t="shared" si="100"/>
        <v>46387</v>
      </c>
      <c r="BB233" s="8">
        <f t="shared" si="100"/>
        <v>46418</v>
      </c>
      <c r="BC233" s="8">
        <f t="shared" si="100"/>
        <v>46446</v>
      </c>
      <c r="BD233" s="8">
        <f t="shared" si="100"/>
        <v>46477</v>
      </c>
      <c r="BE233" s="8">
        <f t="shared" si="100"/>
        <v>46507</v>
      </c>
      <c r="BF233" s="8">
        <f t="shared" si="100"/>
        <v>46538</v>
      </c>
      <c r="BG233" s="8">
        <f t="shared" si="100"/>
        <v>46568</v>
      </c>
      <c r="BH233" s="8">
        <f t="shared" si="100"/>
        <v>46599</v>
      </c>
      <c r="BI233" s="8">
        <f t="shared" si="100"/>
        <v>46630</v>
      </c>
      <c r="BJ233" s="8">
        <f t="shared" si="100"/>
        <v>46660</v>
      </c>
      <c r="BK233" s="8">
        <f t="shared" si="100"/>
        <v>46691</v>
      </c>
      <c r="BL233" s="8">
        <f t="shared" si="100"/>
        <v>46721</v>
      </c>
      <c r="BM233" s="8">
        <f t="shared" si="100"/>
        <v>46752</v>
      </c>
      <c r="BN233" s="8">
        <f t="shared" si="100"/>
        <v>46783</v>
      </c>
      <c r="BO233" s="8">
        <f t="shared" si="100"/>
        <v>46812</v>
      </c>
      <c r="BP233" s="8">
        <f t="shared" si="100"/>
        <v>46843</v>
      </c>
      <c r="BQ233" s="8">
        <f t="shared" si="100"/>
        <v>46873</v>
      </c>
    </row>
    <row r="234" spans="1:69" outlineLevel="2">
      <c r="E234" s="8" t="str">
        <f t="shared" ref="E234:BQ234" si="101" xml:space="preserve">  E$12</f>
        <v>Model period start</v>
      </c>
      <c r="F234" s="8">
        <f t="shared" si="101"/>
        <v>0</v>
      </c>
      <c r="G234" s="8" t="str">
        <f t="shared" si="101"/>
        <v>date</v>
      </c>
      <c r="H234" s="8">
        <f t="shared" si="101"/>
        <v>0</v>
      </c>
      <c r="I234" s="8">
        <f t="shared" si="101"/>
        <v>0</v>
      </c>
      <c r="J234" s="8">
        <f t="shared" si="101"/>
        <v>45047</v>
      </c>
      <c r="K234" s="8">
        <f t="shared" si="101"/>
        <v>45078</v>
      </c>
      <c r="L234" s="8">
        <f t="shared" si="101"/>
        <v>45108</v>
      </c>
      <c r="M234" s="8">
        <f t="shared" si="101"/>
        <v>45139</v>
      </c>
      <c r="N234" s="8">
        <f t="shared" si="101"/>
        <v>45170</v>
      </c>
      <c r="O234" s="8">
        <f t="shared" si="101"/>
        <v>45200</v>
      </c>
      <c r="P234" s="8">
        <f t="shared" si="101"/>
        <v>45231</v>
      </c>
      <c r="Q234" s="8">
        <f t="shared" si="101"/>
        <v>45261</v>
      </c>
      <c r="R234" s="8">
        <f t="shared" si="101"/>
        <v>45292</v>
      </c>
      <c r="S234" s="8">
        <f t="shared" si="101"/>
        <v>45323</v>
      </c>
      <c r="T234" s="8">
        <f t="shared" si="101"/>
        <v>45352</v>
      </c>
      <c r="U234" s="8">
        <f t="shared" si="101"/>
        <v>45383</v>
      </c>
      <c r="V234" s="8">
        <f t="shared" si="101"/>
        <v>45413</v>
      </c>
      <c r="W234" s="8">
        <f t="shared" si="101"/>
        <v>45444</v>
      </c>
      <c r="X234" s="8">
        <f t="shared" si="101"/>
        <v>45474</v>
      </c>
      <c r="Y234" s="8">
        <f t="shared" si="101"/>
        <v>45505</v>
      </c>
      <c r="Z234" s="8">
        <f t="shared" si="101"/>
        <v>45536</v>
      </c>
      <c r="AA234" s="8">
        <f t="shared" si="101"/>
        <v>45566</v>
      </c>
      <c r="AB234" s="8">
        <f t="shared" si="101"/>
        <v>45597</v>
      </c>
      <c r="AC234" s="8">
        <f t="shared" si="101"/>
        <v>45627</v>
      </c>
      <c r="AD234" s="8">
        <f t="shared" si="101"/>
        <v>45658</v>
      </c>
      <c r="AE234" s="8">
        <f t="shared" si="101"/>
        <v>45689</v>
      </c>
      <c r="AF234" s="8">
        <f t="shared" si="101"/>
        <v>45717</v>
      </c>
      <c r="AG234" s="8">
        <f t="shared" si="101"/>
        <v>45748</v>
      </c>
      <c r="AH234" s="8">
        <f t="shared" si="101"/>
        <v>45778</v>
      </c>
      <c r="AI234" s="8">
        <f t="shared" si="101"/>
        <v>45809</v>
      </c>
      <c r="AJ234" s="8">
        <f t="shared" si="101"/>
        <v>45839</v>
      </c>
      <c r="AK234" s="8">
        <f t="shared" si="101"/>
        <v>45870</v>
      </c>
      <c r="AL234" s="8">
        <f t="shared" si="101"/>
        <v>45901</v>
      </c>
      <c r="AM234" s="8">
        <f t="shared" si="101"/>
        <v>45931</v>
      </c>
      <c r="AN234" s="8">
        <f t="shared" si="101"/>
        <v>45962</v>
      </c>
      <c r="AO234" s="8">
        <f t="shared" si="101"/>
        <v>45992</v>
      </c>
      <c r="AP234" s="8">
        <f t="shared" si="101"/>
        <v>46023</v>
      </c>
      <c r="AQ234" s="8">
        <f t="shared" si="101"/>
        <v>46054</v>
      </c>
      <c r="AR234" s="8">
        <f t="shared" si="101"/>
        <v>46082</v>
      </c>
      <c r="AS234" s="8">
        <f t="shared" si="101"/>
        <v>46113</v>
      </c>
      <c r="AT234" s="8">
        <f t="shared" si="101"/>
        <v>46143</v>
      </c>
      <c r="AU234" s="8">
        <f t="shared" si="101"/>
        <v>46174</v>
      </c>
      <c r="AV234" s="8">
        <f t="shared" si="101"/>
        <v>46204</v>
      </c>
      <c r="AW234" s="8">
        <f t="shared" si="101"/>
        <v>46235</v>
      </c>
      <c r="AX234" s="8">
        <f t="shared" si="101"/>
        <v>46266</v>
      </c>
      <c r="AY234" s="8">
        <f t="shared" si="101"/>
        <v>46296</v>
      </c>
      <c r="AZ234" s="8">
        <f t="shared" si="101"/>
        <v>46327</v>
      </c>
      <c r="BA234" s="8">
        <f t="shared" si="101"/>
        <v>46357</v>
      </c>
      <c r="BB234" s="8">
        <f t="shared" si="101"/>
        <v>46388</v>
      </c>
      <c r="BC234" s="8">
        <f t="shared" si="101"/>
        <v>46419</v>
      </c>
      <c r="BD234" s="8">
        <f t="shared" si="101"/>
        <v>46447</v>
      </c>
      <c r="BE234" s="8">
        <f t="shared" si="101"/>
        <v>46478</v>
      </c>
      <c r="BF234" s="8">
        <f t="shared" si="101"/>
        <v>46508</v>
      </c>
      <c r="BG234" s="8">
        <f t="shared" si="101"/>
        <v>46539</v>
      </c>
      <c r="BH234" s="8">
        <f t="shared" si="101"/>
        <v>46569</v>
      </c>
      <c r="BI234" s="8">
        <f t="shared" si="101"/>
        <v>46600</v>
      </c>
      <c r="BJ234" s="8">
        <f t="shared" si="101"/>
        <v>46631</v>
      </c>
      <c r="BK234" s="8">
        <f t="shared" si="101"/>
        <v>46661</v>
      </c>
      <c r="BL234" s="8">
        <f t="shared" si="101"/>
        <v>46692</v>
      </c>
      <c r="BM234" s="8">
        <f t="shared" si="101"/>
        <v>46722</v>
      </c>
      <c r="BN234" s="8">
        <f t="shared" si="101"/>
        <v>46753</v>
      </c>
      <c r="BO234" s="8">
        <f t="shared" si="101"/>
        <v>46784</v>
      </c>
      <c r="BP234" s="8">
        <f t="shared" si="101"/>
        <v>46813</v>
      </c>
      <c r="BQ234" s="8">
        <f t="shared" si="101"/>
        <v>46844</v>
      </c>
    </row>
    <row r="235" spans="1:69" outlineLevel="2">
      <c r="A235" s="34"/>
      <c r="B235" s="34"/>
      <c r="C235" s="64"/>
      <c r="D235" s="65"/>
      <c r="E235" s="21" t="s">
        <v>9</v>
      </c>
      <c r="F235" s="21"/>
      <c r="G235" s="21" t="s">
        <v>20</v>
      </c>
      <c r="H235" s="3">
        <f xml:space="preserve"> SUM( J235:BQ235 )</f>
        <v>25</v>
      </c>
      <c r="I235" s="21"/>
      <c r="J235" s="3">
        <f t="shared" ref="J235:BQ235" si="102" xml:space="preserve">  IF( AND( J233 &gt;= $F231, J234 &lt;= $F232 ), 1, 0 )</f>
        <v>0</v>
      </c>
      <c r="K235" s="3">
        <f t="shared" si="102"/>
        <v>1</v>
      </c>
      <c r="L235" s="3">
        <f t="shared" si="102"/>
        <v>1</v>
      </c>
      <c r="M235" s="3">
        <f t="shared" si="102"/>
        <v>1</v>
      </c>
      <c r="N235" s="3">
        <f t="shared" si="102"/>
        <v>1</v>
      </c>
      <c r="O235" s="3">
        <f t="shared" si="102"/>
        <v>1</v>
      </c>
      <c r="P235" s="3">
        <f t="shared" si="102"/>
        <v>1</v>
      </c>
      <c r="Q235" s="3">
        <f t="shared" si="102"/>
        <v>1</v>
      </c>
      <c r="R235" s="3">
        <f t="shared" si="102"/>
        <v>1</v>
      </c>
      <c r="S235" s="3">
        <f t="shared" si="102"/>
        <v>1</v>
      </c>
      <c r="T235" s="3">
        <f t="shared" si="102"/>
        <v>1</v>
      </c>
      <c r="U235" s="3">
        <f t="shared" si="102"/>
        <v>1</v>
      </c>
      <c r="V235" s="3">
        <f t="shared" si="102"/>
        <v>1</v>
      </c>
      <c r="W235" s="3">
        <f t="shared" si="102"/>
        <v>1</v>
      </c>
      <c r="X235" s="3">
        <f t="shared" si="102"/>
        <v>1</v>
      </c>
      <c r="Y235" s="3">
        <f t="shared" si="102"/>
        <v>1</v>
      </c>
      <c r="Z235" s="3">
        <f t="shared" si="102"/>
        <v>1</v>
      </c>
      <c r="AA235" s="3">
        <f t="shared" si="102"/>
        <v>1</v>
      </c>
      <c r="AB235" s="3">
        <f t="shared" si="102"/>
        <v>1</v>
      </c>
      <c r="AC235" s="3">
        <f t="shared" si="102"/>
        <v>1</v>
      </c>
      <c r="AD235" s="3">
        <f t="shared" si="102"/>
        <v>1</v>
      </c>
      <c r="AE235" s="3">
        <f t="shared" si="102"/>
        <v>1</v>
      </c>
      <c r="AF235" s="3">
        <f t="shared" si="102"/>
        <v>1</v>
      </c>
      <c r="AG235" s="3">
        <f t="shared" si="102"/>
        <v>1</v>
      </c>
      <c r="AH235" s="3">
        <f t="shared" si="102"/>
        <v>1</v>
      </c>
      <c r="AI235" s="3">
        <f t="shared" si="102"/>
        <v>1</v>
      </c>
      <c r="AJ235" s="3">
        <f t="shared" si="102"/>
        <v>0</v>
      </c>
      <c r="AK235" s="3">
        <f t="shared" si="102"/>
        <v>0</v>
      </c>
      <c r="AL235" s="3">
        <f t="shared" si="102"/>
        <v>0</v>
      </c>
      <c r="AM235" s="3">
        <f t="shared" si="102"/>
        <v>0</v>
      </c>
      <c r="AN235" s="3">
        <f t="shared" si="102"/>
        <v>0</v>
      </c>
      <c r="AO235" s="3">
        <f t="shared" si="102"/>
        <v>0</v>
      </c>
      <c r="AP235" s="3">
        <f t="shared" si="102"/>
        <v>0</v>
      </c>
      <c r="AQ235" s="3">
        <f t="shared" si="102"/>
        <v>0</v>
      </c>
      <c r="AR235" s="3">
        <f t="shared" si="102"/>
        <v>0</v>
      </c>
      <c r="AS235" s="3">
        <f t="shared" si="102"/>
        <v>0</v>
      </c>
      <c r="AT235" s="3">
        <f t="shared" si="102"/>
        <v>0</v>
      </c>
      <c r="AU235" s="3">
        <f t="shared" si="102"/>
        <v>0</v>
      </c>
      <c r="AV235" s="3">
        <f t="shared" si="102"/>
        <v>0</v>
      </c>
      <c r="AW235" s="3">
        <f t="shared" si="102"/>
        <v>0</v>
      </c>
      <c r="AX235" s="3">
        <f t="shared" si="102"/>
        <v>0</v>
      </c>
      <c r="AY235" s="3">
        <f t="shared" si="102"/>
        <v>0</v>
      </c>
      <c r="AZ235" s="3">
        <f t="shared" si="102"/>
        <v>0</v>
      </c>
      <c r="BA235" s="3">
        <f t="shared" si="102"/>
        <v>0</v>
      </c>
      <c r="BB235" s="3">
        <f t="shared" si="102"/>
        <v>0</v>
      </c>
      <c r="BC235" s="3">
        <f t="shared" si="102"/>
        <v>0</v>
      </c>
      <c r="BD235" s="3">
        <f t="shared" si="102"/>
        <v>0</v>
      </c>
      <c r="BE235" s="3">
        <f t="shared" si="102"/>
        <v>0</v>
      </c>
      <c r="BF235" s="3">
        <f t="shared" si="102"/>
        <v>0</v>
      </c>
      <c r="BG235" s="3">
        <f t="shared" si="102"/>
        <v>0</v>
      </c>
      <c r="BH235" s="3">
        <f t="shared" si="102"/>
        <v>0</v>
      </c>
      <c r="BI235" s="3">
        <f t="shared" si="102"/>
        <v>0</v>
      </c>
      <c r="BJ235" s="3">
        <f t="shared" si="102"/>
        <v>0</v>
      </c>
      <c r="BK235" s="3">
        <f t="shared" si="102"/>
        <v>0</v>
      </c>
      <c r="BL235" s="3">
        <f t="shared" si="102"/>
        <v>0</v>
      </c>
      <c r="BM235" s="3">
        <f t="shared" si="102"/>
        <v>0</v>
      </c>
      <c r="BN235" s="3">
        <f t="shared" si="102"/>
        <v>0</v>
      </c>
      <c r="BO235" s="3">
        <f t="shared" si="102"/>
        <v>0</v>
      </c>
      <c r="BP235" s="3">
        <f t="shared" si="102"/>
        <v>0</v>
      </c>
      <c r="BQ235" s="3">
        <f t="shared" si="102"/>
        <v>0</v>
      </c>
    </row>
    <row r="236" spans="1:69" outlineLevel="1"/>
    <row r="237" spans="1:69" outlineLevel="1"/>
    <row r="238" spans="1:69" outlineLevel="1">
      <c r="B238" s="25" t="s">
        <v>10</v>
      </c>
    </row>
    <row r="239" spans="1:69" outlineLevel="2">
      <c r="A239" s="18"/>
      <c r="B239" s="18"/>
      <c r="C239" s="28"/>
      <c r="D239" s="27"/>
      <c r="E239" s="20" t="str">
        <f xml:space="preserve">  InpC!E$60</f>
        <v>Invoice Finance Enabled beginning date</v>
      </c>
      <c r="F239" s="20">
        <f xml:space="preserve">  InpC!F$60</f>
        <v>45078</v>
      </c>
      <c r="G239" s="20" t="str">
        <f xml:space="preserve">  InpC!G$60</f>
        <v>date</v>
      </c>
      <c r="M239" s="8"/>
    </row>
    <row r="240" spans="1:69" outlineLevel="2">
      <c r="A240" s="18"/>
      <c r="B240" s="18"/>
      <c r="C240" s="28"/>
      <c r="D240" s="27"/>
      <c r="E240" s="20" t="str">
        <f xml:space="preserve">  InpC!E$61</f>
        <v>Invoice Finance Enabled end date</v>
      </c>
      <c r="F240" s="20">
        <f xml:space="preserve">  InpC!F$61</f>
        <v>45809</v>
      </c>
      <c r="G240" s="20" t="str">
        <f xml:space="preserve">  InpC!G$61</f>
        <v>date</v>
      </c>
      <c r="M240" s="8"/>
    </row>
    <row r="241" spans="1:69" outlineLevel="2">
      <c r="E241" s="8" t="str">
        <f t="shared" ref="E241:BQ241" si="103" xml:space="preserve">  E$19</f>
        <v>Model period end</v>
      </c>
      <c r="F241" s="8">
        <f t="shared" si="103"/>
        <v>0</v>
      </c>
      <c r="G241" s="8" t="str">
        <f t="shared" si="103"/>
        <v>date</v>
      </c>
      <c r="H241" s="8">
        <f t="shared" si="103"/>
        <v>0</v>
      </c>
      <c r="I241" s="8">
        <f t="shared" si="103"/>
        <v>0</v>
      </c>
      <c r="J241" s="8">
        <f t="shared" si="103"/>
        <v>45077</v>
      </c>
      <c r="K241" s="8">
        <f t="shared" si="103"/>
        <v>45107</v>
      </c>
      <c r="L241" s="8">
        <f t="shared" si="103"/>
        <v>45138</v>
      </c>
      <c r="M241" s="8">
        <f t="shared" si="103"/>
        <v>45169</v>
      </c>
      <c r="N241" s="8">
        <f t="shared" si="103"/>
        <v>45199</v>
      </c>
      <c r="O241" s="8">
        <f t="shared" si="103"/>
        <v>45230</v>
      </c>
      <c r="P241" s="8">
        <f t="shared" si="103"/>
        <v>45260</v>
      </c>
      <c r="Q241" s="8">
        <f t="shared" si="103"/>
        <v>45291</v>
      </c>
      <c r="R241" s="8">
        <f t="shared" si="103"/>
        <v>45322</v>
      </c>
      <c r="S241" s="8">
        <f t="shared" si="103"/>
        <v>45351</v>
      </c>
      <c r="T241" s="8">
        <f t="shared" si="103"/>
        <v>45382</v>
      </c>
      <c r="U241" s="8">
        <f t="shared" si="103"/>
        <v>45412</v>
      </c>
      <c r="V241" s="8">
        <f t="shared" si="103"/>
        <v>45443</v>
      </c>
      <c r="W241" s="8">
        <f t="shared" si="103"/>
        <v>45473</v>
      </c>
      <c r="X241" s="8">
        <f t="shared" si="103"/>
        <v>45504</v>
      </c>
      <c r="Y241" s="8">
        <f t="shared" si="103"/>
        <v>45535</v>
      </c>
      <c r="Z241" s="8">
        <f t="shared" si="103"/>
        <v>45565</v>
      </c>
      <c r="AA241" s="8">
        <f t="shared" si="103"/>
        <v>45596</v>
      </c>
      <c r="AB241" s="8">
        <f t="shared" si="103"/>
        <v>45626</v>
      </c>
      <c r="AC241" s="8">
        <f t="shared" si="103"/>
        <v>45657</v>
      </c>
      <c r="AD241" s="8">
        <f t="shared" si="103"/>
        <v>45688</v>
      </c>
      <c r="AE241" s="8">
        <f t="shared" si="103"/>
        <v>45716</v>
      </c>
      <c r="AF241" s="8">
        <f t="shared" si="103"/>
        <v>45747</v>
      </c>
      <c r="AG241" s="8">
        <f t="shared" si="103"/>
        <v>45777</v>
      </c>
      <c r="AH241" s="8">
        <f t="shared" si="103"/>
        <v>45808</v>
      </c>
      <c r="AI241" s="8">
        <f t="shared" si="103"/>
        <v>45838</v>
      </c>
      <c r="AJ241" s="8">
        <f t="shared" si="103"/>
        <v>45869</v>
      </c>
      <c r="AK241" s="8">
        <f t="shared" si="103"/>
        <v>45900</v>
      </c>
      <c r="AL241" s="8">
        <f t="shared" si="103"/>
        <v>45930</v>
      </c>
      <c r="AM241" s="8">
        <f t="shared" si="103"/>
        <v>45961</v>
      </c>
      <c r="AN241" s="8">
        <f t="shared" si="103"/>
        <v>45991</v>
      </c>
      <c r="AO241" s="8">
        <f t="shared" si="103"/>
        <v>46022</v>
      </c>
      <c r="AP241" s="8">
        <f t="shared" si="103"/>
        <v>46053</v>
      </c>
      <c r="AQ241" s="8">
        <f t="shared" si="103"/>
        <v>46081</v>
      </c>
      <c r="AR241" s="8">
        <f t="shared" si="103"/>
        <v>46112</v>
      </c>
      <c r="AS241" s="8">
        <f t="shared" si="103"/>
        <v>46142</v>
      </c>
      <c r="AT241" s="8">
        <f t="shared" si="103"/>
        <v>46173</v>
      </c>
      <c r="AU241" s="8">
        <f t="shared" si="103"/>
        <v>46203</v>
      </c>
      <c r="AV241" s="8">
        <f t="shared" si="103"/>
        <v>46234</v>
      </c>
      <c r="AW241" s="8">
        <f t="shared" si="103"/>
        <v>46265</v>
      </c>
      <c r="AX241" s="8">
        <f t="shared" si="103"/>
        <v>46295</v>
      </c>
      <c r="AY241" s="8">
        <f t="shared" si="103"/>
        <v>46326</v>
      </c>
      <c r="AZ241" s="8">
        <f t="shared" si="103"/>
        <v>46356</v>
      </c>
      <c r="BA241" s="8">
        <f t="shared" si="103"/>
        <v>46387</v>
      </c>
      <c r="BB241" s="8">
        <f t="shared" si="103"/>
        <v>46418</v>
      </c>
      <c r="BC241" s="8">
        <f t="shared" si="103"/>
        <v>46446</v>
      </c>
      <c r="BD241" s="8">
        <f t="shared" si="103"/>
        <v>46477</v>
      </c>
      <c r="BE241" s="8">
        <f t="shared" si="103"/>
        <v>46507</v>
      </c>
      <c r="BF241" s="8">
        <f t="shared" si="103"/>
        <v>46538</v>
      </c>
      <c r="BG241" s="8">
        <f t="shared" si="103"/>
        <v>46568</v>
      </c>
      <c r="BH241" s="8">
        <f t="shared" si="103"/>
        <v>46599</v>
      </c>
      <c r="BI241" s="8">
        <f t="shared" si="103"/>
        <v>46630</v>
      </c>
      <c r="BJ241" s="8">
        <f t="shared" si="103"/>
        <v>46660</v>
      </c>
      <c r="BK241" s="8">
        <f t="shared" si="103"/>
        <v>46691</v>
      </c>
      <c r="BL241" s="8">
        <f t="shared" si="103"/>
        <v>46721</v>
      </c>
      <c r="BM241" s="8">
        <f t="shared" si="103"/>
        <v>46752</v>
      </c>
      <c r="BN241" s="8">
        <f t="shared" si="103"/>
        <v>46783</v>
      </c>
      <c r="BO241" s="8">
        <f t="shared" si="103"/>
        <v>46812</v>
      </c>
      <c r="BP241" s="8">
        <f t="shared" si="103"/>
        <v>46843</v>
      </c>
      <c r="BQ241" s="8">
        <f t="shared" si="103"/>
        <v>46873</v>
      </c>
    </row>
    <row r="242" spans="1:69" outlineLevel="2">
      <c r="E242" s="8" t="str">
        <f t="shared" ref="E242:BQ242" si="104" xml:space="preserve">  E$12</f>
        <v>Model period start</v>
      </c>
      <c r="F242" s="8">
        <f t="shared" si="104"/>
        <v>0</v>
      </c>
      <c r="G242" s="8" t="str">
        <f t="shared" si="104"/>
        <v>date</v>
      </c>
      <c r="H242" s="8">
        <f t="shared" si="104"/>
        <v>0</v>
      </c>
      <c r="I242" s="8">
        <f t="shared" si="104"/>
        <v>0</v>
      </c>
      <c r="J242" s="8">
        <f t="shared" si="104"/>
        <v>45047</v>
      </c>
      <c r="K242" s="8">
        <f t="shared" si="104"/>
        <v>45078</v>
      </c>
      <c r="L242" s="8">
        <f t="shared" si="104"/>
        <v>45108</v>
      </c>
      <c r="M242" s="8">
        <f t="shared" si="104"/>
        <v>45139</v>
      </c>
      <c r="N242" s="8">
        <f t="shared" si="104"/>
        <v>45170</v>
      </c>
      <c r="O242" s="8">
        <f t="shared" si="104"/>
        <v>45200</v>
      </c>
      <c r="P242" s="8">
        <f t="shared" si="104"/>
        <v>45231</v>
      </c>
      <c r="Q242" s="8">
        <f t="shared" si="104"/>
        <v>45261</v>
      </c>
      <c r="R242" s="8">
        <f t="shared" si="104"/>
        <v>45292</v>
      </c>
      <c r="S242" s="8">
        <f t="shared" si="104"/>
        <v>45323</v>
      </c>
      <c r="T242" s="8">
        <f t="shared" si="104"/>
        <v>45352</v>
      </c>
      <c r="U242" s="8">
        <f t="shared" si="104"/>
        <v>45383</v>
      </c>
      <c r="V242" s="8">
        <f t="shared" si="104"/>
        <v>45413</v>
      </c>
      <c r="W242" s="8">
        <f t="shared" si="104"/>
        <v>45444</v>
      </c>
      <c r="X242" s="8">
        <f t="shared" si="104"/>
        <v>45474</v>
      </c>
      <c r="Y242" s="8">
        <f t="shared" si="104"/>
        <v>45505</v>
      </c>
      <c r="Z242" s="8">
        <f t="shared" si="104"/>
        <v>45536</v>
      </c>
      <c r="AA242" s="8">
        <f t="shared" si="104"/>
        <v>45566</v>
      </c>
      <c r="AB242" s="8">
        <f t="shared" si="104"/>
        <v>45597</v>
      </c>
      <c r="AC242" s="8">
        <f t="shared" si="104"/>
        <v>45627</v>
      </c>
      <c r="AD242" s="8">
        <f t="shared" si="104"/>
        <v>45658</v>
      </c>
      <c r="AE242" s="8">
        <f t="shared" si="104"/>
        <v>45689</v>
      </c>
      <c r="AF242" s="8">
        <f t="shared" si="104"/>
        <v>45717</v>
      </c>
      <c r="AG242" s="8">
        <f t="shared" si="104"/>
        <v>45748</v>
      </c>
      <c r="AH242" s="8">
        <f t="shared" si="104"/>
        <v>45778</v>
      </c>
      <c r="AI242" s="8">
        <f t="shared" si="104"/>
        <v>45809</v>
      </c>
      <c r="AJ242" s="8">
        <f t="shared" si="104"/>
        <v>45839</v>
      </c>
      <c r="AK242" s="8">
        <f t="shared" si="104"/>
        <v>45870</v>
      </c>
      <c r="AL242" s="8">
        <f t="shared" si="104"/>
        <v>45901</v>
      </c>
      <c r="AM242" s="8">
        <f t="shared" si="104"/>
        <v>45931</v>
      </c>
      <c r="AN242" s="8">
        <f t="shared" si="104"/>
        <v>45962</v>
      </c>
      <c r="AO242" s="8">
        <f t="shared" si="104"/>
        <v>45992</v>
      </c>
      <c r="AP242" s="8">
        <f t="shared" si="104"/>
        <v>46023</v>
      </c>
      <c r="AQ242" s="8">
        <f t="shared" si="104"/>
        <v>46054</v>
      </c>
      <c r="AR242" s="8">
        <f t="shared" si="104"/>
        <v>46082</v>
      </c>
      <c r="AS242" s="8">
        <f t="shared" si="104"/>
        <v>46113</v>
      </c>
      <c r="AT242" s="8">
        <f t="shared" si="104"/>
        <v>46143</v>
      </c>
      <c r="AU242" s="8">
        <f t="shared" si="104"/>
        <v>46174</v>
      </c>
      <c r="AV242" s="8">
        <f t="shared" si="104"/>
        <v>46204</v>
      </c>
      <c r="AW242" s="8">
        <f t="shared" si="104"/>
        <v>46235</v>
      </c>
      <c r="AX242" s="8">
        <f t="shared" si="104"/>
        <v>46266</v>
      </c>
      <c r="AY242" s="8">
        <f t="shared" si="104"/>
        <v>46296</v>
      </c>
      <c r="AZ242" s="8">
        <f t="shared" si="104"/>
        <v>46327</v>
      </c>
      <c r="BA242" s="8">
        <f t="shared" si="104"/>
        <v>46357</v>
      </c>
      <c r="BB242" s="8">
        <f t="shared" si="104"/>
        <v>46388</v>
      </c>
      <c r="BC242" s="8">
        <f t="shared" si="104"/>
        <v>46419</v>
      </c>
      <c r="BD242" s="8">
        <f t="shared" si="104"/>
        <v>46447</v>
      </c>
      <c r="BE242" s="8">
        <f t="shared" si="104"/>
        <v>46478</v>
      </c>
      <c r="BF242" s="8">
        <f t="shared" si="104"/>
        <v>46508</v>
      </c>
      <c r="BG242" s="8">
        <f t="shared" si="104"/>
        <v>46539</v>
      </c>
      <c r="BH242" s="8">
        <f t="shared" si="104"/>
        <v>46569</v>
      </c>
      <c r="BI242" s="8">
        <f t="shared" si="104"/>
        <v>46600</v>
      </c>
      <c r="BJ242" s="8">
        <f t="shared" si="104"/>
        <v>46631</v>
      </c>
      <c r="BK242" s="8">
        <f t="shared" si="104"/>
        <v>46661</v>
      </c>
      <c r="BL242" s="8">
        <f t="shared" si="104"/>
        <v>46692</v>
      </c>
      <c r="BM242" s="8">
        <f t="shared" si="104"/>
        <v>46722</v>
      </c>
      <c r="BN242" s="8">
        <f t="shared" si="104"/>
        <v>46753</v>
      </c>
      <c r="BO242" s="8">
        <f t="shared" si="104"/>
        <v>46784</v>
      </c>
      <c r="BP242" s="8">
        <f t="shared" si="104"/>
        <v>46813</v>
      </c>
      <c r="BQ242" s="8">
        <f t="shared" si="104"/>
        <v>46844</v>
      </c>
    </row>
    <row r="243" spans="1:69" outlineLevel="2">
      <c r="A243" s="34"/>
      <c r="B243" s="34"/>
      <c r="C243" s="64"/>
      <c r="D243" s="65"/>
      <c r="E243" s="21" t="s">
        <v>10</v>
      </c>
      <c r="F243" s="21"/>
      <c r="G243" s="21" t="s">
        <v>20</v>
      </c>
      <c r="H243" s="3">
        <f xml:space="preserve"> SUM( J243:BQ243 )</f>
        <v>25</v>
      </c>
      <c r="I243" s="21"/>
      <c r="J243" s="3">
        <f t="shared" ref="J243:BQ243" si="105" xml:space="preserve">  IF( AND( J241 &gt;= $F239, J242 &lt;= $F240 ), 1, 0 )</f>
        <v>0</v>
      </c>
      <c r="K243" s="3">
        <f t="shared" si="105"/>
        <v>1</v>
      </c>
      <c r="L243" s="3">
        <f t="shared" si="105"/>
        <v>1</v>
      </c>
      <c r="M243" s="3">
        <f t="shared" si="105"/>
        <v>1</v>
      </c>
      <c r="N243" s="3">
        <f t="shared" si="105"/>
        <v>1</v>
      </c>
      <c r="O243" s="3">
        <f t="shared" si="105"/>
        <v>1</v>
      </c>
      <c r="P243" s="3">
        <f t="shared" si="105"/>
        <v>1</v>
      </c>
      <c r="Q243" s="3">
        <f t="shared" si="105"/>
        <v>1</v>
      </c>
      <c r="R243" s="3">
        <f t="shared" si="105"/>
        <v>1</v>
      </c>
      <c r="S243" s="3">
        <f t="shared" si="105"/>
        <v>1</v>
      </c>
      <c r="T243" s="3">
        <f t="shared" si="105"/>
        <v>1</v>
      </c>
      <c r="U243" s="3">
        <f t="shared" si="105"/>
        <v>1</v>
      </c>
      <c r="V243" s="3">
        <f t="shared" si="105"/>
        <v>1</v>
      </c>
      <c r="W243" s="3">
        <f t="shared" si="105"/>
        <v>1</v>
      </c>
      <c r="X243" s="3">
        <f t="shared" si="105"/>
        <v>1</v>
      </c>
      <c r="Y243" s="3">
        <f t="shared" si="105"/>
        <v>1</v>
      </c>
      <c r="Z243" s="3">
        <f t="shared" si="105"/>
        <v>1</v>
      </c>
      <c r="AA243" s="3">
        <f t="shared" si="105"/>
        <v>1</v>
      </c>
      <c r="AB243" s="3">
        <f t="shared" si="105"/>
        <v>1</v>
      </c>
      <c r="AC243" s="3">
        <f t="shared" si="105"/>
        <v>1</v>
      </c>
      <c r="AD243" s="3">
        <f t="shared" si="105"/>
        <v>1</v>
      </c>
      <c r="AE243" s="3">
        <f t="shared" si="105"/>
        <v>1</v>
      </c>
      <c r="AF243" s="3">
        <f t="shared" si="105"/>
        <v>1</v>
      </c>
      <c r="AG243" s="3">
        <f t="shared" si="105"/>
        <v>1</v>
      </c>
      <c r="AH243" s="3">
        <f t="shared" si="105"/>
        <v>1</v>
      </c>
      <c r="AI243" s="3">
        <f t="shared" si="105"/>
        <v>1</v>
      </c>
      <c r="AJ243" s="3">
        <f t="shared" si="105"/>
        <v>0</v>
      </c>
      <c r="AK243" s="3">
        <f t="shared" si="105"/>
        <v>0</v>
      </c>
      <c r="AL243" s="3">
        <f t="shared" si="105"/>
        <v>0</v>
      </c>
      <c r="AM243" s="3">
        <f t="shared" si="105"/>
        <v>0</v>
      </c>
      <c r="AN243" s="3">
        <f t="shared" si="105"/>
        <v>0</v>
      </c>
      <c r="AO243" s="3">
        <f t="shared" si="105"/>
        <v>0</v>
      </c>
      <c r="AP243" s="3">
        <f t="shared" si="105"/>
        <v>0</v>
      </c>
      <c r="AQ243" s="3">
        <f t="shared" si="105"/>
        <v>0</v>
      </c>
      <c r="AR243" s="3">
        <f t="shared" si="105"/>
        <v>0</v>
      </c>
      <c r="AS243" s="3">
        <f t="shared" si="105"/>
        <v>0</v>
      </c>
      <c r="AT243" s="3">
        <f t="shared" si="105"/>
        <v>0</v>
      </c>
      <c r="AU243" s="3">
        <f t="shared" si="105"/>
        <v>0</v>
      </c>
      <c r="AV243" s="3">
        <f t="shared" si="105"/>
        <v>0</v>
      </c>
      <c r="AW243" s="3">
        <f t="shared" si="105"/>
        <v>0</v>
      </c>
      <c r="AX243" s="3">
        <f t="shared" si="105"/>
        <v>0</v>
      </c>
      <c r="AY243" s="3">
        <f t="shared" si="105"/>
        <v>0</v>
      </c>
      <c r="AZ243" s="3">
        <f t="shared" si="105"/>
        <v>0</v>
      </c>
      <c r="BA243" s="3">
        <f t="shared" si="105"/>
        <v>0</v>
      </c>
      <c r="BB243" s="3">
        <f t="shared" si="105"/>
        <v>0</v>
      </c>
      <c r="BC243" s="3">
        <f t="shared" si="105"/>
        <v>0</v>
      </c>
      <c r="BD243" s="3">
        <f t="shared" si="105"/>
        <v>0</v>
      </c>
      <c r="BE243" s="3">
        <f t="shared" si="105"/>
        <v>0</v>
      </c>
      <c r="BF243" s="3">
        <f t="shared" si="105"/>
        <v>0</v>
      </c>
      <c r="BG243" s="3">
        <f t="shared" si="105"/>
        <v>0</v>
      </c>
      <c r="BH243" s="3">
        <f t="shared" si="105"/>
        <v>0</v>
      </c>
      <c r="BI243" s="3">
        <f t="shared" si="105"/>
        <v>0</v>
      </c>
      <c r="BJ243" s="3">
        <f t="shared" si="105"/>
        <v>0</v>
      </c>
      <c r="BK243" s="3">
        <f t="shared" si="105"/>
        <v>0</v>
      </c>
      <c r="BL243" s="3">
        <f t="shared" si="105"/>
        <v>0</v>
      </c>
      <c r="BM243" s="3">
        <f t="shared" si="105"/>
        <v>0</v>
      </c>
      <c r="BN243" s="3">
        <f t="shared" si="105"/>
        <v>0</v>
      </c>
      <c r="BO243" s="3">
        <f t="shared" si="105"/>
        <v>0</v>
      </c>
      <c r="BP243" s="3">
        <f t="shared" si="105"/>
        <v>0</v>
      </c>
      <c r="BQ243" s="3">
        <f t="shared" si="105"/>
        <v>0</v>
      </c>
    </row>
    <row r="244" spans="1:69" outlineLevel="1"/>
    <row r="245" spans="1:69" outlineLevel="1"/>
    <row r="246" spans="1:69" outlineLevel="1">
      <c r="B246" s="25" t="s">
        <v>108</v>
      </c>
    </row>
    <row r="247" spans="1:69" outlineLevel="2">
      <c r="A247" s="18"/>
      <c r="B247" s="18"/>
      <c r="C247" s="28"/>
      <c r="D247" s="27"/>
      <c r="E247" s="20" t="str">
        <f xml:space="preserve">  InpC!E$75</f>
        <v>Asset Finance Enabled beginning date</v>
      </c>
      <c r="F247" s="20">
        <f xml:space="preserve">  InpC!F$75</f>
        <v>45047</v>
      </c>
      <c r="G247" s="20" t="str">
        <f xml:space="preserve">  InpC!G$75</f>
        <v>date</v>
      </c>
      <c r="M247" s="8"/>
    </row>
    <row r="248" spans="1:69" outlineLevel="2">
      <c r="A248" s="18"/>
      <c r="B248" s="18"/>
      <c r="C248" s="28"/>
      <c r="D248" s="27"/>
      <c r="E248" s="20" t="str">
        <f xml:space="preserve">  InpC!E$74</f>
        <v>Asset Finance Enabled end date</v>
      </c>
      <c r="F248" s="20">
        <f xml:space="preserve">  InpC!F$74</f>
        <v>45777</v>
      </c>
      <c r="G248" s="20" t="str">
        <f xml:space="preserve">  InpC!G$74</f>
        <v>date</v>
      </c>
      <c r="M248" s="8"/>
    </row>
    <row r="249" spans="1:69" outlineLevel="2">
      <c r="E249" s="8" t="str">
        <f t="shared" ref="E249:BQ249" si="106" xml:space="preserve">  E$19</f>
        <v>Model period end</v>
      </c>
      <c r="F249" s="8">
        <f t="shared" si="106"/>
        <v>0</v>
      </c>
      <c r="G249" s="8" t="str">
        <f t="shared" si="106"/>
        <v>date</v>
      </c>
      <c r="H249" s="8">
        <f t="shared" si="106"/>
        <v>0</v>
      </c>
      <c r="I249" s="8">
        <f t="shared" si="106"/>
        <v>0</v>
      </c>
      <c r="J249" s="8">
        <f t="shared" si="106"/>
        <v>45077</v>
      </c>
      <c r="K249" s="8">
        <f t="shared" si="106"/>
        <v>45107</v>
      </c>
      <c r="L249" s="8">
        <f t="shared" si="106"/>
        <v>45138</v>
      </c>
      <c r="M249" s="8">
        <f t="shared" si="106"/>
        <v>45169</v>
      </c>
      <c r="N249" s="8">
        <f t="shared" si="106"/>
        <v>45199</v>
      </c>
      <c r="O249" s="8">
        <f t="shared" si="106"/>
        <v>45230</v>
      </c>
      <c r="P249" s="8">
        <f t="shared" si="106"/>
        <v>45260</v>
      </c>
      <c r="Q249" s="8">
        <f t="shared" si="106"/>
        <v>45291</v>
      </c>
      <c r="R249" s="8">
        <f t="shared" si="106"/>
        <v>45322</v>
      </c>
      <c r="S249" s="8">
        <f t="shared" si="106"/>
        <v>45351</v>
      </c>
      <c r="T249" s="8">
        <f t="shared" si="106"/>
        <v>45382</v>
      </c>
      <c r="U249" s="8">
        <f t="shared" si="106"/>
        <v>45412</v>
      </c>
      <c r="V249" s="8">
        <f t="shared" si="106"/>
        <v>45443</v>
      </c>
      <c r="W249" s="8">
        <f t="shared" si="106"/>
        <v>45473</v>
      </c>
      <c r="X249" s="8">
        <f t="shared" si="106"/>
        <v>45504</v>
      </c>
      <c r="Y249" s="8">
        <f t="shared" si="106"/>
        <v>45535</v>
      </c>
      <c r="Z249" s="8">
        <f t="shared" si="106"/>
        <v>45565</v>
      </c>
      <c r="AA249" s="8">
        <f t="shared" si="106"/>
        <v>45596</v>
      </c>
      <c r="AB249" s="8">
        <f t="shared" si="106"/>
        <v>45626</v>
      </c>
      <c r="AC249" s="8">
        <f t="shared" si="106"/>
        <v>45657</v>
      </c>
      <c r="AD249" s="8">
        <f t="shared" si="106"/>
        <v>45688</v>
      </c>
      <c r="AE249" s="8">
        <f t="shared" si="106"/>
        <v>45716</v>
      </c>
      <c r="AF249" s="8">
        <f t="shared" si="106"/>
        <v>45747</v>
      </c>
      <c r="AG249" s="8">
        <f t="shared" si="106"/>
        <v>45777</v>
      </c>
      <c r="AH249" s="8">
        <f t="shared" si="106"/>
        <v>45808</v>
      </c>
      <c r="AI249" s="8">
        <f t="shared" si="106"/>
        <v>45838</v>
      </c>
      <c r="AJ249" s="8">
        <f t="shared" si="106"/>
        <v>45869</v>
      </c>
      <c r="AK249" s="8">
        <f t="shared" si="106"/>
        <v>45900</v>
      </c>
      <c r="AL249" s="8">
        <f t="shared" si="106"/>
        <v>45930</v>
      </c>
      <c r="AM249" s="8">
        <f t="shared" si="106"/>
        <v>45961</v>
      </c>
      <c r="AN249" s="8">
        <f t="shared" si="106"/>
        <v>45991</v>
      </c>
      <c r="AO249" s="8">
        <f t="shared" si="106"/>
        <v>46022</v>
      </c>
      <c r="AP249" s="8">
        <f t="shared" si="106"/>
        <v>46053</v>
      </c>
      <c r="AQ249" s="8">
        <f t="shared" si="106"/>
        <v>46081</v>
      </c>
      <c r="AR249" s="8">
        <f t="shared" si="106"/>
        <v>46112</v>
      </c>
      <c r="AS249" s="8">
        <f t="shared" si="106"/>
        <v>46142</v>
      </c>
      <c r="AT249" s="8">
        <f t="shared" si="106"/>
        <v>46173</v>
      </c>
      <c r="AU249" s="8">
        <f t="shared" si="106"/>
        <v>46203</v>
      </c>
      <c r="AV249" s="8">
        <f t="shared" si="106"/>
        <v>46234</v>
      </c>
      <c r="AW249" s="8">
        <f t="shared" si="106"/>
        <v>46265</v>
      </c>
      <c r="AX249" s="8">
        <f t="shared" si="106"/>
        <v>46295</v>
      </c>
      <c r="AY249" s="8">
        <f t="shared" si="106"/>
        <v>46326</v>
      </c>
      <c r="AZ249" s="8">
        <f t="shared" si="106"/>
        <v>46356</v>
      </c>
      <c r="BA249" s="8">
        <f t="shared" si="106"/>
        <v>46387</v>
      </c>
      <c r="BB249" s="8">
        <f t="shared" si="106"/>
        <v>46418</v>
      </c>
      <c r="BC249" s="8">
        <f t="shared" si="106"/>
        <v>46446</v>
      </c>
      <c r="BD249" s="8">
        <f t="shared" si="106"/>
        <v>46477</v>
      </c>
      <c r="BE249" s="8">
        <f t="shared" si="106"/>
        <v>46507</v>
      </c>
      <c r="BF249" s="8">
        <f t="shared" si="106"/>
        <v>46538</v>
      </c>
      <c r="BG249" s="8">
        <f t="shared" si="106"/>
        <v>46568</v>
      </c>
      <c r="BH249" s="8">
        <f t="shared" si="106"/>
        <v>46599</v>
      </c>
      <c r="BI249" s="8">
        <f t="shared" si="106"/>
        <v>46630</v>
      </c>
      <c r="BJ249" s="8">
        <f t="shared" si="106"/>
        <v>46660</v>
      </c>
      <c r="BK249" s="8">
        <f t="shared" si="106"/>
        <v>46691</v>
      </c>
      <c r="BL249" s="8">
        <f t="shared" si="106"/>
        <v>46721</v>
      </c>
      <c r="BM249" s="8">
        <f t="shared" si="106"/>
        <v>46752</v>
      </c>
      <c r="BN249" s="8">
        <f t="shared" si="106"/>
        <v>46783</v>
      </c>
      <c r="BO249" s="8">
        <f t="shared" si="106"/>
        <v>46812</v>
      </c>
      <c r="BP249" s="8">
        <f t="shared" si="106"/>
        <v>46843</v>
      </c>
      <c r="BQ249" s="8">
        <f t="shared" si="106"/>
        <v>46873</v>
      </c>
    </row>
    <row r="250" spans="1:69" outlineLevel="2">
      <c r="E250" s="8" t="str">
        <f t="shared" ref="E250:BQ250" si="107" xml:space="preserve">  E$12</f>
        <v>Model period start</v>
      </c>
      <c r="F250" s="8">
        <f t="shared" si="107"/>
        <v>0</v>
      </c>
      <c r="G250" s="8" t="str">
        <f t="shared" si="107"/>
        <v>date</v>
      </c>
      <c r="H250" s="8">
        <f t="shared" si="107"/>
        <v>0</v>
      </c>
      <c r="I250" s="8">
        <f t="shared" si="107"/>
        <v>0</v>
      </c>
      <c r="J250" s="8">
        <f t="shared" si="107"/>
        <v>45047</v>
      </c>
      <c r="K250" s="8">
        <f t="shared" si="107"/>
        <v>45078</v>
      </c>
      <c r="L250" s="8">
        <f t="shared" si="107"/>
        <v>45108</v>
      </c>
      <c r="M250" s="8">
        <f t="shared" si="107"/>
        <v>45139</v>
      </c>
      <c r="N250" s="8">
        <f t="shared" si="107"/>
        <v>45170</v>
      </c>
      <c r="O250" s="8">
        <f t="shared" si="107"/>
        <v>45200</v>
      </c>
      <c r="P250" s="8">
        <f t="shared" si="107"/>
        <v>45231</v>
      </c>
      <c r="Q250" s="8">
        <f t="shared" si="107"/>
        <v>45261</v>
      </c>
      <c r="R250" s="8">
        <f t="shared" si="107"/>
        <v>45292</v>
      </c>
      <c r="S250" s="8">
        <f t="shared" si="107"/>
        <v>45323</v>
      </c>
      <c r="T250" s="8">
        <f t="shared" si="107"/>
        <v>45352</v>
      </c>
      <c r="U250" s="8">
        <f t="shared" si="107"/>
        <v>45383</v>
      </c>
      <c r="V250" s="8">
        <f t="shared" si="107"/>
        <v>45413</v>
      </c>
      <c r="W250" s="8">
        <f t="shared" si="107"/>
        <v>45444</v>
      </c>
      <c r="X250" s="8">
        <f t="shared" si="107"/>
        <v>45474</v>
      </c>
      <c r="Y250" s="8">
        <f t="shared" si="107"/>
        <v>45505</v>
      </c>
      <c r="Z250" s="8">
        <f t="shared" si="107"/>
        <v>45536</v>
      </c>
      <c r="AA250" s="8">
        <f t="shared" si="107"/>
        <v>45566</v>
      </c>
      <c r="AB250" s="8">
        <f t="shared" si="107"/>
        <v>45597</v>
      </c>
      <c r="AC250" s="8">
        <f t="shared" si="107"/>
        <v>45627</v>
      </c>
      <c r="AD250" s="8">
        <f t="shared" si="107"/>
        <v>45658</v>
      </c>
      <c r="AE250" s="8">
        <f t="shared" si="107"/>
        <v>45689</v>
      </c>
      <c r="AF250" s="8">
        <f t="shared" si="107"/>
        <v>45717</v>
      </c>
      <c r="AG250" s="8">
        <f t="shared" si="107"/>
        <v>45748</v>
      </c>
      <c r="AH250" s="8">
        <f t="shared" si="107"/>
        <v>45778</v>
      </c>
      <c r="AI250" s="8">
        <f t="shared" si="107"/>
        <v>45809</v>
      </c>
      <c r="AJ250" s="8">
        <f t="shared" si="107"/>
        <v>45839</v>
      </c>
      <c r="AK250" s="8">
        <f t="shared" si="107"/>
        <v>45870</v>
      </c>
      <c r="AL250" s="8">
        <f t="shared" si="107"/>
        <v>45901</v>
      </c>
      <c r="AM250" s="8">
        <f t="shared" si="107"/>
        <v>45931</v>
      </c>
      <c r="AN250" s="8">
        <f t="shared" si="107"/>
        <v>45962</v>
      </c>
      <c r="AO250" s="8">
        <f t="shared" si="107"/>
        <v>45992</v>
      </c>
      <c r="AP250" s="8">
        <f t="shared" si="107"/>
        <v>46023</v>
      </c>
      <c r="AQ250" s="8">
        <f t="shared" si="107"/>
        <v>46054</v>
      </c>
      <c r="AR250" s="8">
        <f t="shared" si="107"/>
        <v>46082</v>
      </c>
      <c r="AS250" s="8">
        <f t="shared" si="107"/>
        <v>46113</v>
      </c>
      <c r="AT250" s="8">
        <f t="shared" si="107"/>
        <v>46143</v>
      </c>
      <c r="AU250" s="8">
        <f t="shared" si="107"/>
        <v>46174</v>
      </c>
      <c r="AV250" s="8">
        <f t="shared" si="107"/>
        <v>46204</v>
      </c>
      <c r="AW250" s="8">
        <f t="shared" si="107"/>
        <v>46235</v>
      </c>
      <c r="AX250" s="8">
        <f t="shared" si="107"/>
        <v>46266</v>
      </c>
      <c r="AY250" s="8">
        <f t="shared" si="107"/>
        <v>46296</v>
      </c>
      <c r="AZ250" s="8">
        <f t="shared" si="107"/>
        <v>46327</v>
      </c>
      <c r="BA250" s="8">
        <f t="shared" si="107"/>
        <v>46357</v>
      </c>
      <c r="BB250" s="8">
        <f t="shared" si="107"/>
        <v>46388</v>
      </c>
      <c r="BC250" s="8">
        <f t="shared" si="107"/>
        <v>46419</v>
      </c>
      <c r="BD250" s="8">
        <f t="shared" si="107"/>
        <v>46447</v>
      </c>
      <c r="BE250" s="8">
        <f t="shared" si="107"/>
        <v>46478</v>
      </c>
      <c r="BF250" s="8">
        <f t="shared" si="107"/>
        <v>46508</v>
      </c>
      <c r="BG250" s="8">
        <f t="shared" si="107"/>
        <v>46539</v>
      </c>
      <c r="BH250" s="8">
        <f t="shared" si="107"/>
        <v>46569</v>
      </c>
      <c r="BI250" s="8">
        <f t="shared" si="107"/>
        <v>46600</v>
      </c>
      <c r="BJ250" s="8">
        <f t="shared" si="107"/>
        <v>46631</v>
      </c>
      <c r="BK250" s="8">
        <f t="shared" si="107"/>
        <v>46661</v>
      </c>
      <c r="BL250" s="8">
        <f t="shared" si="107"/>
        <v>46692</v>
      </c>
      <c r="BM250" s="8">
        <f t="shared" si="107"/>
        <v>46722</v>
      </c>
      <c r="BN250" s="8">
        <f t="shared" si="107"/>
        <v>46753</v>
      </c>
      <c r="BO250" s="8">
        <f t="shared" si="107"/>
        <v>46784</v>
      </c>
      <c r="BP250" s="8">
        <f t="shared" si="107"/>
        <v>46813</v>
      </c>
      <c r="BQ250" s="8">
        <f t="shared" si="107"/>
        <v>46844</v>
      </c>
    </row>
    <row r="251" spans="1:69" outlineLevel="2">
      <c r="A251" s="34"/>
      <c r="B251" s="34"/>
      <c r="C251" s="64"/>
      <c r="D251" s="65"/>
      <c r="E251" s="21" t="s">
        <v>108</v>
      </c>
      <c r="F251" s="21"/>
      <c r="G251" s="21" t="s">
        <v>20</v>
      </c>
      <c r="H251" s="3">
        <f xml:space="preserve"> SUM( J251:BQ251 )</f>
        <v>24</v>
      </c>
      <c r="I251" s="21"/>
      <c r="J251" s="3">
        <f t="shared" ref="J251:BQ251" si="108" xml:space="preserve">  IF( AND( J249 &gt;= $F247, J250 &lt;= $F248 ), 1, 0 )</f>
        <v>1</v>
      </c>
      <c r="K251" s="3">
        <f t="shared" si="108"/>
        <v>1</v>
      </c>
      <c r="L251" s="3">
        <f t="shared" si="108"/>
        <v>1</v>
      </c>
      <c r="M251" s="3">
        <f t="shared" si="108"/>
        <v>1</v>
      </c>
      <c r="N251" s="3">
        <f t="shared" si="108"/>
        <v>1</v>
      </c>
      <c r="O251" s="3">
        <f t="shared" si="108"/>
        <v>1</v>
      </c>
      <c r="P251" s="3">
        <f t="shared" si="108"/>
        <v>1</v>
      </c>
      <c r="Q251" s="3">
        <f t="shared" si="108"/>
        <v>1</v>
      </c>
      <c r="R251" s="3">
        <f t="shared" si="108"/>
        <v>1</v>
      </c>
      <c r="S251" s="3">
        <f t="shared" si="108"/>
        <v>1</v>
      </c>
      <c r="T251" s="3">
        <f t="shared" si="108"/>
        <v>1</v>
      </c>
      <c r="U251" s="3">
        <f t="shared" si="108"/>
        <v>1</v>
      </c>
      <c r="V251" s="3">
        <f t="shared" si="108"/>
        <v>1</v>
      </c>
      <c r="W251" s="3">
        <f t="shared" si="108"/>
        <v>1</v>
      </c>
      <c r="X251" s="3">
        <f t="shared" si="108"/>
        <v>1</v>
      </c>
      <c r="Y251" s="3">
        <f t="shared" si="108"/>
        <v>1</v>
      </c>
      <c r="Z251" s="3">
        <f t="shared" si="108"/>
        <v>1</v>
      </c>
      <c r="AA251" s="3">
        <f t="shared" si="108"/>
        <v>1</v>
      </c>
      <c r="AB251" s="3">
        <f t="shared" si="108"/>
        <v>1</v>
      </c>
      <c r="AC251" s="3">
        <f t="shared" si="108"/>
        <v>1</v>
      </c>
      <c r="AD251" s="3">
        <f t="shared" si="108"/>
        <v>1</v>
      </c>
      <c r="AE251" s="3">
        <f t="shared" si="108"/>
        <v>1</v>
      </c>
      <c r="AF251" s="3">
        <f t="shared" si="108"/>
        <v>1</v>
      </c>
      <c r="AG251" s="3">
        <f t="shared" si="108"/>
        <v>1</v>
      </c>
      <c r="AH251" s="3">
        <f t="shared" si="108"/>
        <v>0</v>
      </c>
      <c r="AI251" s="3">
        <f t="shared" si="108"/>
        <v>0</v>
      </c>
      <c r="AJ251" s="3">
        <f t="shared" si="108"/>
        <v>0</v>
      </c>
      <c r="AK251" s="3">
        <f t="shared" si="108"/>
        <v>0</v>
      </c>
      <c r="AL251" s="3">
        <f t="shared" si="108"/>
        <v>0</v>
      </c>
      <c r="AM251" s="3">
        <f t="shared" si="108"/>
        <v>0</v>
      </c>
      <c r="AN251" s="3">
        <f t="shared" si="108"/>
        <v>0</v>
      </c>
      <c r="AO251" s="3">
        <f t="shared" si="108"/>
        <v>0</v>
      </c>
      <c r="AP251" s="3">
        <f t="shared" si="108"/>
        <v>0</v>
      </c>
      <c r="AQ251" s="3">
        <f t="shared" si="108"/>
        <v>0</v>
      </c>
      <c r="AR251" s="3">
        <f t="shared" si="108"/>
        <v>0</v>
      </c>
      <c r="AS251" s="3">
        <f t="shared" si="108"/>
        <v>0</v>
      </c>
      <c r="AT251" s="3">
        <f t="shared" si="108"/>
        <v>0</v>
      </c>
      <c r="AU251" s="3">
        <f t="shared" si="108"/>
        <v>0</v>
      </c>
      <c r="AV251" s="3">
        <f t="shared" si="108"/>
        <v>0</v>
      </c>
      <c r="AW251" s="3">
        <f t="shared" si="108"/>
        <v>0</v>
      </c>
      <c r="AX251" s="3">
        <f t="shared" si="108"/>
        <v>0</v>
      </c>
      <c r="AY251" s="3">
        <f t="shared" si="108"/>
        <v>0</v>
      </c>
      <c r="AZ251" s="3">
        <f t="shared" si="108"/>
        <v>0</v>
      </c>
      <c r="BA251" s="3">
        <f t="shared" si="108"/>
        <v>0</v>
      </c>
      <c r="BB251" s="3">
        <f t="shared" si="108"/>
        <v>0</v>
      </c>
      <c r="BC251" s="3">
        <f t="shared" si="108"/>
        <v>0</v>
      </c>
      <c r="BD251" s="3">
        <f t="shared" si="108"/>
        <v>0</v>
      </c>
      <c r="BE251" s="3">
        <f t="shared" si="108"/>
        <v>0</v>
      </c>
      <c r="BF251" s="3">
        <f t="shared" si="108"/>
        <v>0</v>
      </c>
      <c r="BG251" s="3">
        <f t="shared" si="108"/>
        <v>0</v>
      </c>
      <c r="BH251" s="3">
        <f t="shared" si="108"/>
        <v>0</v>
      </c>
      <c r="BI251" s="3">
        <f t="shared" si="108"/>
        <v>0</v>
      </c>
      <c r="BJ251" s="3">
        <f t="shared" si="108"/>
        <v>0</v>
      </c>
      <c r="BK251" s="3">
        <f t="shared" si="108"/>
        <v>0</v>
      </c>
      <c r="BL251" s="3">
        <f t="shared" si="108"/>
        <v>0</v>
      </c>
      <c r="BM251" s="3">
        <f t="shared" si="108"/>
        <v>0</v>
      </c>
      <c r="BN251" s="3">
        <f t="shared" si="108"/>
        <v>0</v>
      </c>
      <c r="BO251" s="3">
        <f t="shared" si="108"/>
        <v>0</v>
      </c>
      <c r="BP251" s="3">
        <f t="shared" si="108"/>
        <v>0</v>
      </c>
      <c r="BQ251" s="3">
        <f t="shared" si="108"/>
        <v>0</v>
      </c>
    </row>
    <row r="252" spans="1:69" outlineLevel="1"/>
    <row r="254" spans="1:69">
      <c r="A254" s="25" t="s">
        <v>318</v>
      </c>
    </row>
    <row r="255" spans="1:69" outlineLevel="1">
      <c r="B255" s="25" t="s">
        <v>318</v>
      </c>
    </row>
    <row r="256" spans="1:69" outlineLevel="2">
      <c r="E256" s="2" t="str">
        <f t="shared" ref="E256:G256" si="109" xml:space="preserve">  E$271</f>
        <v>VAT return this period first period number constant</v>
      </c>
      <c r="F256" s="2">
        <f t="shared" si="109"/>
        <v>2</v>
      </c>
      <c r="G256" s="2">
        <f t="shared" si="109"/>
        <v>0</v>
      </c>
      <c r="M256" s="2"/>
    </row>
    <row r="257" spans="1:69" outlineLevel="2">
      <c r="A257" s="18"/>
      <c r="B257" s="18"/>
      <c r="C257" s="28"/>
      <c r="D257" s="27"/>
      <c r="E257" s="4" t="str">
        <f xml:space="preserve">  InpC!E$82</f>
        <v>VAT return this period every x periods</v>
      </c>
      <c r="F257" s="4">
        <f xml:space="preserve">  InpC!F$82</f>
        <v>3</v>
      </c>
      <c r="G257" s="4" t="str">
        <f xml:space="preserve">  InpC!G$82</f>
        <v>Months</v>
      </c>
      <c r="M257" s="2"/>
    </row>
    <row r="258" spans="1:69" outlineLevel="2">
      <c r="E258" s="2" t="str">
        <f t="shared" ref="E258:G258" si="110" xml:space="preserve">  E$266</f>
        <v>VAT return this period mod of period number</v>
      </c>
      <c r="F258" s="2">
        <f t="shared" si="110"/>
        <v>2</v>
      </c>
      <c r="G258" s="2">
        <f t="shared" si="110"/>
        <v>0</v>
      </c>
      <c r="M258" s="2"/>
    </row>
    <row r="259" spans="1:69" outlineLevel="2">
      <c r="E259" s="5" t="str">
        <f t="shared" ref="E259:BQ259" si="111" xml:space="preserve">  E$28</f>
        <v>Period number</v>
      </c>
      <c r="F259" s="5">
        <f t="shared" si="111"/>
        <v>0</v>
      </c>
      <c r="G259" s="5" t="str">
        <f t="shared" si="111"/>
        <v>Counter</v>
      </c>
      <c r="H259" s="5">
        <f t="shared" si="111"/>
        <v>0</v>
      </c>
      <c r="I259" s="5">
        <f t="shared" si="111"/>
        <v>0</v>
      </c>
      <c r="J259" s="5">
        <f t="shared" si="111"/>
        <v>1</v>
      </c>
      <c r="K259" s="5">
        <f t="shared" si="111"/>
        <v>2</v>
      </c>
      <c r="L259" s="5">
        <f t="shared" si="111"/>
        <v>3</v>
      </c>
      <c r="M259" s="5">
        <f t="shared" si="111"/>
        <v>4</v>
      </c>
      <c r="N259" s="5">
        <f t="shared" si="111"/>
        <v>5</v>
      </c>
      <c r="O259" s="5">
        <f t="shared" si="111"/>
        <v>6</v>
      </c>
      <c r="P259" s="5">
        <f t="shared" si="111"/>
        <v>7</v>
      </c>
      <c r="Q259" s="5">
        <f t="shared" si="111"/>
        <v>8</v>
      </c>
      <c r="R259" s="5">
        <f t="shared" si="111"/>
        <v>9</v>
      </c>
      <c r="S259" s="5">
        <f t="shared" si="111"/>
        <v>10</v>
      </c>
      <c r="T259" s="5">
        <f t="shared" si="111"/>
        <v>11</v>
      </c>
      <c r="U259" s="5">
        <f t="shared" si="111"/>
        <v>12</v>
      </c>
      <c r="V259" s="5">
        <f t="shared" si="111"/>
        <v>13</v>
      </c>
      <c r="W259" s="5">
        <f t="shared" si="111"/>
        <v>14</v>
      </c>
      <c r="X259" s="5">
        <f t="shared" si="111"/>
        <v>15</v>
      </c>
      <c r="Y259" s="5">
        <f t="shared" si="111"/>
        <v>16</v>
      </c>
      <c r="Z259" s="5">
        <f t="shared" si="111"/>
        <v>17</v>
      </c>
      <c r="AA259" s="5">
        <f t="shared" si="111"/>
        <v>18</v>
      </c>
      <c r="AB259" s="5">
        <f t="shared" si="111"/>
        <v>19</v>
      </c>
      <c r="AC259" s="5">
        <f t="shared" si="111"/>
        <v>20</v>
      </c>
      <c r="AD259" s="5">
        <f t="shared" si="111"/>
        <v>21</v>
      </c>
      <c r="AE259" s="5">
        <f t="shared" si="111"/>
        <v>22</v>
      </c>
      <c r="AF259" s="5">
        <f t="shared" si="111"/>
        <v>23</v>
      </c>
      <c r="AG259" s="5">
        <f t="shared" si="111"/>
        <v>24</v>
      </c>
      <c r="AH259" s="5">
        <f t="shared" si="111"/>
        <v>25</v>
      </c>
      <c r="AI259" s="5">
        <f t="shared" si="111"/>
        <v>26</v>
      </c>
      <c r="AJ259" s="5">
        <f t="shared" si="111"/>
        <v>27</v>
      </c>
      <c r="AK259" s="5">
        <f t="shared" si="111"/>
        <v>28</v>
      </c>
      <c r="AL259" s="5">
        <f t="shared" si="111"/>
        <v>29</v>
      </c>
      <c r="AM259" s="5">
        <f t="shared" si="111"/>
        <v>30</v>
      </c>
      <c r="AN259" s="5">
        <f t="shared" si="111"/>
        <v>31</v>
      </c>
      <c r="AO259" s="5">
        <f t="shared" si="111"/>
        <v>32</v>
      </c>
      <c r="AP259" s="5">
        <f t="shared" si="111"/>
        <v>33</v>
      </c>
      <c r="AQ259" s="5">
        <f t="shared" si="111"/>
        <v>34</v>
      </c>
      <c r="AR259" s="5">
        <f t="shared" si="111"/>
        <v>35</v>
      </c>
      <c r="AS259" s="5">
        <f t="shared" si="111"/>
        <v>36</v>
      </c>
      <c r="AT259" s="5">
        <f t="shared" si="111"/>
        <v>37</v>
      </c>
      <c r="AU259" s="5">
        <f t="shared" si="111"/>
        <v>38</v>
      </c>
      <c r="AV259" s="5">
        <f t="shared" si="111"/>
        <v>39</v>
      </c>
      <c r="AW259" s="5">
        <f t="shared" si="111"/>
        <v>40</v>
      </c>
      <c r="AX259" s="5">
        <f t="shared" si="111"/>
        <v>41</v>
      </c>
      <c r="AY259" s="5">
        <f t="shared" si="111"/>
        <v>42</v>
      </c>
      <c r="AZ259" s="5">
        <f t="shared" si="111"/>
        <v>43</v>
      </c>
      <c r="BA259" s="5">
        <f t="shared" si="111"/>
        <v>44</v>
      </c>
      <c r="BB259" s="5">
        <f t="shared" si="111"/>
        <v>45</v>
      </c>
      <c r="BC259" s="5">
        <f t="shared" si="111"/>
        <v>46</v>
      </c>
      <c r="BD259" s="5">
        <f t="shared" si="111"/>
        <v>47</v>
      </c>
      <c r="BE259" s="5">
        <f t="shared" si="111"/>
        <v>48</v>
      </c>
      <c r="BF259" s="5">
        <f t="shared" si="111"/>
        <v>49</v>
      </c>
      <c r="BG259" s="5">
        <f t="shared" si="111"/>
        <v>50</v>
      </c>
      <c r="BH259" s="5">
        <f t="shared" si="111"/>
        <v>51</v>
      </c>
      <c r="BI259" s="5">
        <f t="shared" si="111"/>
        <v>52</v>
      </c>
      <c r="BJ259" s="5">
        <f t="shared" si="111"/>
        <v>53</v>
      </c>
      <c r="BK259" s="5">
        <f t="shared" si="111"/>
        <v>54</v>
      </c>
      <c r="BL259" s="5">
        <f t="shared" si="111"/>
        <v>55</v>
      </c>
      <c r="BM259" s="5">
        <f t="shared" si="111"/>
        <v>56</v>
      </c>
      <c r="BN259" s="5">
        <f t="shared" si="111"/>
        <v>57</v>
      </c>
      <c r="BO259" s="5">
        <f t="shared" si="111"/>
        <v>58</v>
      </c>
      <c r="BP259" s="5">
        <f t="shared" si="111"/>
        <v>59</v>
      </c>
      <c r="BQ259" s="5">
        <f t="shared" si="111"/>
        <v>60</v>
      </c>
    </row>
    <row r="260" spans="1:69" outlineLevel="2">
      <c r="A260" s="34"/>
      <c r="B260" s="34"/>
      <c r="C260" s="64"/>
      <c r="D260" s="65"/>
      <c r="E260" s="21" t="s">
        <v>318</v>
      </c>
      <c r="F260" s="21"/>
      <c r="G260" s="21" t="s">
        <v>20</v>
      </c>
      <c r="H260" s="3">
        <f xml:space="preserve"> SUM( J260:BQ260 )</f>
        <v>20</v>
      </c>
      <c r="I260" s="21"/>
      <c r="J260" s="3">
        <f t="shared" ref="J260:BQ260" si="112" xml:space="preserve">  IF( AND( J259 &gt;= $F256, MOD( J259, $F257 ) = $F258 ), 1, 0 )</f>
        <v>0</v>
      </c>
      <c r="K260" s="3">
        <f t="shared" si="112"/>
        <v>1</v>
      </c>
      <c r="L260" s="3">
        <f t="shared" si="112"/>
        <v>0</v>
      </c>
      <c r="M260" s="3">
        <f t="shared" si="112"/>
        <v>0</v>
      </c>
      <c r="N260" s="3">
        <f t="shared" si="112"/>
        <v>1</v>
      </c>
      <c r="O260" s="3">
        <f t="shared" si="112"/>
        <v>0</v>
      </c>
      <c r="P260" s="3">
        <f t="shared" si="112"/>
        <v>0</v>
      </c>
      <c r="Q260" s="3">
        <f t="shared" si="112"/>
        <v>1</v>
      </c>
      <c r="R260" s="3">
        <f t="shared" si="112"/>
        <v>0</v>
      </c>
      <c r="S260" s="3">
        <f t="shared" si="112"/>
        <v>0</v>
      </c>
      <c r="T260" s="3">
        <f t="shared" si="112"/>
        <v>1</v>
      </c>
      <c r="U260" s="3">
        <f t="shared" si="112"/>
        <v>0</v>
      </c>
      <c r="V260" s="3">
        <f t="shared" si="112"/>
        <v>0</v>
      </c>
      <c r="W260" s="3">
        <f t="shared" si="112"/>
        <v>1</v>
      </c>
      <c r="X260" s="3">
        <f t="shared" si="112"/>
        <v>0</v>
      </c>
      <c r="Y260" s="3">
        <f t="shared" si="112"/>
        <v>0</v>
      </c>
      <c r="Z260" s="3">
        <f t="shared" si="112"/>
        <v>1</v>
      </c>
      <c r="AA260" s="3">
        <f t="shared" si="112"/>
        <v>0</v>
      </c>
      <c r="AB260" s="3">
        <f t="shared" si="112"/>
        <v>0</v>
      </c>
      <c r="AC260" s="3">
        <f t="shared" si="112"/>
        <v>1</v>
      </c>
      <c r="AD260" s="3">
        <f t="shared" si="112"/>
        <v>0</v>
      </c>
      <c r="AE260" s="3">
        <f t="shared" si="112"/>
        <v>0</v>
      </c>
      <c r="AF260" s="3">
        <f t="shared" si="112"/>
        <v>1</v>
      </c>
      <c r="AG260" s="3">
        <f t="shared" si="112"/>
        <v>0</v>
      </c>
      <c r="AH260" s="3">
        <f t="shared" si="112"/>
        <v>0</v>
      </c>
      <c r="AI260" s="3">
        <f t="shared" si="112"/>
        <v>1</v>
      </c>
      <c r="AJ260" s="3">
        <f t="shared" si="112"/>
        <v>0</v>
      </c>
      <c r="AK260" s="3">
        <f t="shared" si="112"/>
        <v>0</v>
      </c>
      <c r="AL260" s="3">
        <f t="shared" si="112"/>
        <v>1</v>
      </c>
      <c r="AM260" s="3">
        <f t="shared" si="112"/>
        <v>0</v>
      </c>
      <c r="AN260" s="3">
        <f t="shared" si="112"/>
        <v>0</v>
      </c>
      <c r="AO260" s="3">
        <f t="shared" si="112"/>
        <v>1</v>
      </c>
      <c r="AP260" s="3">
        <f t="shared" si="112"/>
        <v>0</v>
      </c>
      <c r="AQ260" s="3">
        <f t="shared" si="112"/>
        <v>0</v>
      </c>
      <c r="AR260" s="3">
        <f t="shared" si="112"/>
        <v>1</v>
      </c>
      <c r="AS260" s="3">
        <f t="shared" si="112"/>
        <v>0</v>
      </c>
      <c r="AT260" s="3">
        <f t="shared" si="112"/>
        <v>0</v>
      </c>
      <c r="AU260" s="3">
        <f t="shared" si="112"/>
        <v>1</v>
      </c>
      <c r="AV260" s="3">
        <f t="shared" si="112"/>
        <v>0</v>
      </c>
      <c r="AW260" s="3">
        <f t="shared" si="112"/>
        <v>0</v>
      </c>
      <c r="AX260" s="3">
        <f t="shared" si="112"/>
        <v>1</v>
      </c>
      <c r="AY260" s="3">
        <f t="shared" si="112"/>
        <v>0</v>
      </c>
      <c r="AZ260" s="3">
        <f t="shared" si="112"/>
        <v>0</v>
      </c>
      <c r="BA260" s="3">
        <f t="shared" si="112"/>
        <v>1</v>
      </c>
      <c r="BB260" s="3">
        <f t="shared" si="112"/>
        <v>0</v>
      </c>
      <c r="BC260" s="3">
        <f t="shared" si="112"/>
        <v>0</v>
      </c>
      <c r="BD260" s="3">
        <f t="shared" si="112"/>
        <v>1</v>
      </c>
      <c r="BE260" s="3">
        <f t="shared" si="112"/>
        <v>0</v>
      </c>
      <c r="BF260" s="3">
        <f t="shared" si="112"/>
        <v>0</v>
      </c>
      <c r="BG260" s="3">
        <f t="shared" si="112"/>
        <v>1</v>
      </c>
      <c r="BH260" s="3">
        <f t="shared" si="112"/>
        <v>0</v>
      </c>
      <c r="BI260" s="3">
        <f t="shared" si="112"/>
        <v>0</v>
      </c>
      <c r="BJ260" s="3">
        <f t="shared" si="112"/>
        <v>1</v>
      </c>
      <c r="BK260" s="3">
        <f t="shared" si="112"/>
        <v>0</v>
      </c>
      <c r="BL260" s="3">
        <f t="shared" si="112"/>
        <v>0</v>
      </c>
      <c r="BM260" s="3">
        <f t="shared" si="112"/>
        <v>1</v>
      </c>
      <c r="BN260" s="3">
        <f t="shared" si="112"/>
        <v>0</v>
      </c>
      <c r="BO260" s="3">
        <f t="shared" si="112"/>
        <v>0</v>
      </c>
      <c r="BP260" s="3">
        <f t="shared" si="112"/>
        <v>1</v>
      </c>
      <c r="BQ260" s="3">
        <f t="shared" si="112"/>
        <v>0</v>
      </c>
    </row>
    <row r="261" spans="1:69" outlineLevel="1"/>
    <row r="262" spans="1:69" outlineLevel="1"/>
    <row r="263" spans="1:69" outlineLevel="1">
      <c r="B263" s="25" t="s">
        <v>109</v>
      </c>
    </row>
    <row r="264" spans="1:69" outlineLevel="2">
      <c r="E264" s="2" t="str">
        <f t="shared" ref="E264:G264" si="113" xml:space="preserve">  E$271</f>
        <v>VAT return this period first period number constant</v>
      </c>
      <c r="F264" s="2">
        <f t="shared" si="113"/>
        <v>2</v>
      </c>
      <c r="G264" s="2">
        <f t="shared" si="113"/>
        <v>0</v>
      </c>
      <c r="M264" s="2"/>
    </row>
    <row r="265" spans="1:69" outlineLevel="2">
      <c r="A265" s="18"/>
      <c r="B265" s="18"/>
      <c r="C265" s="28"/>
      <c r="D265" s="27"/>
      <c r="E265" s="4" t="str">
        <f xml:space="preserve">  InpC!E$82</f>
        <v>VAT return this period every x periods</v>
      </c>
      <c r="F265" s="4">
        <f xml:space="preserve">  InpC!F$82</f>
        <v>3</v>
      </c>
      <c r="G265" s="4" t="str">
        <f xml:space="preserve">  InpC!G$82</f>
        <v>Months</v>
      </c>
      <c r="M265" s="2"/>
    </row>
    <row r="266" spans="1:69" outlineLevel="2">
      <c r="E266" s="47" t="s">
        <v>109</v>
      </c>
      <c r="F266" s="2">
        <f xml:space="preserve">  MOD( $F264, $F265 )</f>
        <v>2</v>
      </c>
      <c r="M266" s="2"/>
    </row>
    <row r="267" spans="1:69" outlineLevel="1"/>
    <row r="268" spans="1:69" outlineLevel="1"/>
    <row r="269" spans="1:69" outlineLevel="1">
      <c r="B269" s="25" t="s">
        <v>78</v>
      </c>
    </row>
    <row r="270" spans="1:69" outlineLevel="2">
      <c r="E270" s="2" t="str">
        <f t="shared" ref="E270:BQ270" si="114" xml:space="preserve">  E$277</f>
        <v>VAT return this period first period number</v>
      </c>
      <c r="F270" s="2">
        <f t="shared" si="114"/>
        <v>0</v>
      </c>
      <c r="G270" s="2">
        <f t="shared" si="114"/>
        <v>0</v>
      </c>
      <c r="H270" s="2">
        <f t="shared" si="114"/>
        <v>2</v>
      </c>
      <c r="I270" s="2">
        <f t="shared" si="114"/>
        <v>0</v>
      </c>
      <c r="J270" s="2">
        <f t="shared" si="114"/>
        <v>0</v>
      </c>
      <c r="K270" s="2">
        <f t="shared" si="114"/>
        <v>2</v>
      </c>
      <c r="L270" s="2">
        <f t="shared" si="114"/>
        <v>0</v>
      </c>
      <c r="M270" s="2">
        <f t="shared" si="114"/>
        <v>0</v>
      </c>
      <c r="N270" s="2">
        <f t="shared" si="114"/>
        <v>0</v>
      </c>
      <c r="O270" s="2">
        <f t="shared" si="114"/>
        <v>0</v>
      </c>
      <c r="P270" s="2">
        <f t="shared" si="114"/>
        <v>0</v>
      </c>
      <c r="Q270" s="2">
        <f t="shared" si="114"/>
        <v>0</v>
      </c>
      <c r="R270" s="2">
        <f t="shared" si="114"/>
        <v>0</v>
      </c>
      <c r="S270" s="2">
        <f t="shared" si="114"/>
        <v>0</v>
      </c>
      <c r="T270" s="2">
        <f t="shared" si="114"/>
        <v>0</v>
      </c>
      <c r="U270" s="2">
        <f t="shared" si="114"/>
        <v>0</v>
      </c>
      <c r="V270" s="2">
        <f t="shared" si="114"/>
        <v>0</v>
      </c>
      <c r="W270" s="2">
        <f t="shared" si="114"/>
        <v>0</v>
      </c>
      <c r="X270" s="2">
        <f t="shared" si="114"/>
        <v>0</v>
      </c>
      <c r="Y270" s="2">
        <f t="shared" si="114"/>
        <v>0</v>
      </c>
      <c r="Z270" s="2">
        <f t="shared" si="114"/>
        <v>0</v>
      </c>
      <c r="AA270" s="2">
        <f t="shared" si="114"/>
        <v>0</v>
      </c>
      <c r="AB270" s="2">
        <f t="shared" si="114"/>
        <v>0</v>
      </c>
      <c r="AC270" s="2">
        <f t="shared" si="114"/>
        <v>0</v>
      </c>
      <c r="AD270" s="2">
        <f t="shared" si="114"/>
        <v>0</v>
      </c>
      <c r="AE270" s="2">
        <f t="shared" si="114"/>
        <v>0</v>
      </c>
      <c r="AF270" s="2">
        <f t="shared" si="114"/>
        <v>0</v>
      </c>
      <c r="AG270" s="2">
        <f t="shared" si="114"/>
        <v>0</v>
      </c>
      <c r="AH270" s="2">
        <f t="shared" si="114"/>
        <v>0</v>
      </c>
      <c r="AI270" s="2">
        <f t="shared" si="114"/>
        <v>0</v>
      </c>
      <c r="AJ270" s="2">
        <f t="shared" si="114"/>
        <v>0</v>
      </c>
      <c r="AK270" s="2">
        <f t="shared" si="114"/>
        <v>0</v>
      </c>
      <c r="AL270" s="2">
        <f t="shared" si="114"/>
        <v>0</v>
      </c>
      <c r="AM270" s="2">
        <f t="shared" si="114"/>
        <v>0</v>
      </c>
      <c r="AN270" s="2">
        <f t="shared" si="114"/>
        <v>0</v>
      </c>
      <c r="AO270" s="2">
        <f t="shared" si="114"/>
        <v>0</v>
      </c>
      <c r="AP270" s="2">
        <f t="shared" si="114"/>
        <v>0</v>
      </c>
      <c r="AQ270" s="2">
        <f t="shared" si="114"/>
        <v>0</v>
      </c>
      <c r="AR270" s="2">
        <f t="shared" si="114"/>
        <v>0</v>
      </c>
      <c r="AS270" s="2">
        <f t="shared" si="114"/>
        <v>0</v>
      </c>
      <c r="AT270" s="2">
        <f t="shared" si="114"/>
        <v>0</v>
      </c>
      <c r="AU270" s="2">
        <f t="shared" si="114"/>
        <v>0</v>
      </c>
      <c r="AV270" s="2">
        <f t="shared" si="114"/>
        <v>0</v>
      </c>
      <c r="AW270" s="2">
        <f t="shared" si="114"/>
        <v>0</v>
      </c>
      <c r="AX270" s="2">
        <f t="shared" si="114"/>
        <v>0</v>
      </c>
      <c r="AY270" s="2">
        <f t="shared" si="114"/>
        <v>0</v>
      </c>
      <c r="AZ270" s="2">
        <f t="shared" si="114"/>
        <v>0</v>
      </c>
      <c r="BA270" s="2">
        <f t="shared" si="114"/>
        <v>0</v>
      </c>
      <c r="BB270" s="2">
        <f t="shared" si="114"/>
        <v>0</v>
      </c>
      <c r="BC270" s="2">
        <f t="shared" si="114"/>
        <v>0</v>
      </c>
      <c r="BD270" s="2">
        <f t="shared" si="114"/>
        <v>0</v>
      </c>
      <c r="BE270" s="2">
        <f t="shared" si="114"/>
        <v>0</v>
      </c>
      <c r="BF270" s="2">
        <f t="shared" si="114"/>
        <v>0</v>
      </c>
      <c r="BG270" s="2">
        <f t="shared" si="114"/>
        <v>0</v>
      </c>
      <c r="BH270" s="2">
        <f t="shared" si="114"/>
        <v>0</v>
      </c>
      <c r="BI270" s="2">
        <f t="shared" si="114"/>
        <v>0</v>
      </c>
      <c r="BJ270" s="2">
        <f t="shared" si="114"/>
        <v>0</v>
      </c>
      <c r="BK270" s="2">
        <f t="shared" si="114"/>
        <v>0</v>
      </c>
      <c r="BL270" s="2">
        <f t="shared" si="114"/>
        <v>0</v>
      </c>
      <c r="BM270" s="2">
        <f t="shared" si="114"/>
        <v>0</v>
      </c>
      <c r="BN270" s="2">
        <f t="shared" si="114"/>
        <v>0</v>
      </c>
      <c r="BO270" s="2">
        <f t="shared" si="114"/>
        <v>0</v>
      </c>
      <c r="BP270" s="2">
        <f t="shared" si="114"/>
        <v>0</v>
      </c>
      <c r="BQ270" s="2">
        <f t="shared" si="114"/>
        <v>0</v>
      </c>
    </row>
    <row r="271" spans="1:69" outlineLevel="2">
      <c r="E271" s="47" t="s">
        <v>78</v>
      </c>
      <c r="F271" s="2">
        <f xml:space="preserve">  SUM( $J270:$BQ270 )</f>
        <v>2</v>
      </c>
      <c r="M271" s="2"/>
    </row>
    <row r="272" spans="1:69" outlineLevel="1"/>
    <row r="273" spans="1:69" outlineLevel="1"/>
    <row r="274" spans="1:69" outlineLevel="1">
      <c r="B274" s="25" t="s">
        <v>32</v>
      </c>
    </row>
    <row r="275" spans="1:69" outlineLevel="2">
      <c r="E275" s="5" t="str">
        <f t="shared" ref="E275:BQ275" si="115" xml:space="preserve">  E$28</f>
        <v>Period number</v>
      </c>
      <c r="F275" s="5">
        <f t="shared" si="115"/>
        <v>0</v>
      </c>
      <c r="G275" s="5" t="str">
        <f t="shared" si="115"/>
        <v>Counter</v>
      </c>
      <c r="H275" s="5">
        <f t="shared" si="115"/>
        <v>0</v>
      </c>
      <c r="I275" s="5">
        <f t="shared" si="115"/>
        <v>0</v>
      </c>
      <c r="J275" s="5">
        <f t="shared" si="115"/>
        <v>1</v>
      </c>
      <c r="K275" s="5">
        <f t="shared" si="115"/>
        <v>2</v>
      </c>
      <c r="L275" s="5">
        <f t="shared" si="115"/>
        <v>3</v>
      </c>
      <c r="M275" s="5">
        <f t="shared" si="115"/>
        <v>4</v>
      </c>
      <c r="N275" s="5">
        <f t="shared" si="115"/>
        <v>5</v>
      </c>
      <c r="O275" s="5">
        <f t="shared" si="115"/>
        <v>6</v>
      </c>
      <c r="P275" s="5">
        <f t="shared" si="115"/>
        <v>7</v>
      </c>
      <c r="Q275" s="5">
        <f t="shared" si="115"/>
        <v>8</v>
      </c>
      <c r="R275" s="5">
        <f t="shared" si="115"/>
        <v>9</v>
      </c>
      <c r="S275" s="5">
        <f t="shared" si="115"/>
        <v>10</v>
      </c>
      <c r="T275" s="5">
        <f t="shared" si="115"/>
        <v>11</v>
      </c>
      <c r="U275" s="5">
        <f t="shared" si="115"/>
        <v>12</v>
      </c>
      <c r="V275" s="5">
        <f t="shared" si="115"/>
        <v>13</v>
      </c>
      <c r="W275" s="5">
        <f t="shared" si="115"/>
        <v>14</v>
      </c>
      <c r="X275" s="5">
        <f t="shared" si="115"/>
        <v>15</v>
      </c>
      <c r="Y275" s="5">
        <f t="shared" si="115"/>
        <v>16</v>
      </c>
      <c r="Z275" s="5">
        <f t="shared" si="115"/>
        <v>17</v>
      </c>
      <c r="AA275" s="5">
        <f t="shared" si="115"/>
        <v>18</v>
      </c>
      <c r="AB275" s="5">
        <f t="shared" si="115"/>
        <v>19</v>
      </c>
      <c r="AC275" s="5">
        <f t="shared" si="115"/>
        <v>20</v>
      </c>
      <c r="AD275" s="5">
        <f t="shared" si="115"/>
        <v>21</v>
      </c>
      <c r="AE275" s="5">
        <f t="shared" si="115"/>
        <v>22</v>
      </c>
      <c r="AF275" s="5">
        <f t="shared" si="115"/>
        <v>23</v>
      </c>
      <c r="AG275" s="5">
        <f t="shared" si="115"/>
        <v>24</v>
      </c>
      <c r="AH275" s="5">
        <f t="shared" si="115"/>
        <v>25</v>
      </c>
      <c r="AI275" s="5">
        <f t="shared" si="115"/>
        <v>26</v>
      </c>
      <c r="AJ275" s="5">
        <f t="shared" si="115"/>
        <v>27</v>
      </c>
      <c r="AK275" s="5">
        <f t="shared" si="115"/>
        <v>28</v>
      </c>
      <c r="AL275" s="5">
        <f t="shared" si="115"/>
        <v>29</v>
      </c>
      <c r="AM275" s="5">
        <f t="shared" si="115"/>
        <v>30</v>
      </c>
      <c r="AN275" s="5">
        <f t="shared" si="115"/>
        <v>31</v>
      </c>
      <c r="AO275" s="5">
        <f t="shared" si="115"/>
        <v>32</v>
      </c>
      <c r="AP275" s="5">
        <f t="shared" si="115"/>
        <v>33</v>
      </c>
      <c r="AQ275" s="5">
        <f t="shared" si="115"/>
        <v>34</v>
      </c>
      <c r="AR275" s="5">
        <f t="shared" si="115"/>
        <v>35</v>
      </c>
      <c r="AS275" s="5">
        <f t="shared" si="115"/>
        <v>36</v>
      </c>
      <c r="AT275" s="5">
        <f t="shared" si="115"/>
        <v>37</v>
      </c>
      <c r="AU275" s="5">
        <f t="shared" si="115"/>
        <v>38</v>
      </c>
      <c r="AV275" s="5">
        <f t="shared" si="115"/>
        <v>39</v>
      </c>
      <c r="AW275" s="5">
        <f t="shared" si="115"/>
        <v>40</v>
      </c>
      <c r="AX275" s="5">
        <f t="shared" si="115"/>
        <v>41</v>
      </c>
      <c r="AY275" s="5">
        <f t="shared" si="115"/>
        <v>42</v>
      </c>
      <c r="AZ275" s="5">
        <f t="shared" si="115"/>
        <v>43</v>
      </c>
      <c r="BA275" s="5">
        <f t="shared" si="115"/>
        <v>44</v>
      </c>
      <c r="BB275" s="5">
        <f t="shared" si="115"/>
        <v>45</v>
      </c>
      <c r="BC275" s="5">
        <f t="shared" si="115"/>
        <v>46</v>
      </c>
      <c r="BD275" s="5">
        <f t="shared" si="115"/>
        <v>47</v>
      </c>
      <c r="BE275" s="5">
        <f t="shared" si="115"/>
        <v>48</v>
      </c>
      <c r="BF275" s="5">
        <f t="shared" si="115"/>
        <v>49</v>
      </c>
      <c r="BG275" s="5">
        <f t="shared" si="115"/>
        <v>50</v>
      </c>
      <c r="BH275" s="5">
        <f t="shared" si="115"/>
        <v>51</v>
      </c>
      <c r="BI275" s="5">
        <f t="shared" si="115"/>
        <v>52</v>
      </c>
      <c r="BJ275" s="5">
        <f t="shared" si="115"/>
        <v>53</v>
      </c>
      <c r="BK275" s="5">
        <f t="shared" si="115"/>
        <v>54</v>
      </c>
      <c r="BL275" s="5">
        <f t="shared" si="115"/>
        <v>55</v>
      </c>
      <c r="BM275" s="5">
        <f t="shared" si="115"/>
        <v>56</v>
      </c>
      <c r="BN275" s="5">
        <f t="shared" si="115"/>
        <v>57</v>
      </c>
      <c r="BO275" s="5">
        <f t="shared" si="115"/>
        <v>58</v>
      </c>
      <c r="BP275" s="5">
        <f t="shared" si="115"/>
        <v>59</v>
      </c>
      <c r="BQ275" s="5">
        <f t="shared" si="115"/>
        <v>60</v>
      </c>
    </row>
    <row r="276" spans="1:69" outlineLevel="2">
      <c r="E276" s="2" t="str">
        <f t="shared" ref="E276:BQ276" si="116" xml:space="preserve">  E$284</f>
        <v>VAT return this period first period flag</v>
      </c>
      <c r="F276" s="2">
        <f t="shared" si="116"/>
        <v>0</v>
      </c>
      <c r="G276" s="2" t="str">
        <f t="shared" si="116"/>
        <v>flag</v>
      </c>
      <c r="H276" s="2">
        <f t="shared" si="116"/>
        <v>1</v>
      </c>
      <c r="I276" s="2">
        <f t="shared" si="116"/>
        <v>0</v>
      </c>
      <c r="J276" s="2">
        <f t="shared" si="116"/>
        <v>0</v>
      </c>
      <c r="K276" s="2">
        <f t="shared" si="116"/>
        <v>1</v>
      </c>
      <c r="L276" s="2">
        <f t="shared" si="116"/>
        <v>0</v>
      </c>
      <c r="M276" s="2">
        <f t="shared" si="116"/>
        <v>0</v>
      </c>
      <c r="N276" s="2">
        <f t="shared" si="116"/>
        <v>0</v>
      </c>
      <c r="O276" s="2">
        <f t="shared" si="116"/>
        <v>0</v>
      </c>
      <c r="P276" s="2">
        <f t="shared" si="116"/>
        <v>0</v>
      </c>
      <c r="Q276" s="2">
        <f t="shared" si="116"/>
        <v>0</v>
      </c>
      <c r="R276" s="2">
        <f t="shared" si="116"/>
        <v>0</v>
      </c>
      <c r="S276" s="2">
        <f t="shared" si="116"/>
        <v>0</v>
      </c>
      <c r="T276" s="2">
        <f t="shared" si="116"/>
        <v>0</v>
      </c>
      <c r="U276" s="2">
        <f t="shared" si="116"/>
        <v>0</v>
      </c>
      <c r="V276" s="2">
        <f t="shared" si="116"/>
        <v>0</v>
      </c>
      <c r="W276" s="2">
        <f t="shared" si="116"/>
        <v>0</v>
      </c>
      <c r="X276" s="2">
        <f t="shared" si="116"/>
        <v>0</v>
      </c>
      <c r="Y276" s="2">
        <f t="shared" si="116"/>
        <v>0</v>
      </c>
      <c r="Z276" s="2">
        <f t="shared" si="116"/>
        <v>0</v>
      </c>
      <c r="AA276" s="2">
        <f t="shared" si="116"/>
        <v>0</v>
      </c>
      <c r="AB276" s="2">
        <f t="shared" si="116"/>
        <v>0</v>
      </c>
      <c r="AC276" s="2">
        <f t="shared" si="116"/>
        <v>0</v>
      </c>
      <c r="AD276" s="2">
        <f t="shared" si="116"/>
        <v>0</v>
      </c>
      <c r="AE276" s="2">
        <f t="shared" si="116"/>
        <v>0</v>
      </c>
      <c r="AF276" s="2">
        <f t="shared" si="116"/>
        <v>0</v>
      </c>
      <c r="AG276" s="2">
        <f t="shared" si="116"/>
        <v>0</v>
      </c>
      <c r="AH276" s="2">
        <f t="shared" si="116"/>
        <v>0</v>
      </c>
      <c r="AI276" s="2">
        <f t="shared" si="116"/>
        <v>0</v>
      </c>
      <c r="AJ276" s="2">
        <f t="shared" si="116"/>
        <v>0</v>
      </c>
      <c r="AK276" s="2">
        <f t="shared" si="116"/>
        <v>0</v>
      </c>
      <c r="AL276" s="2">
        <f t="shared" si="116"/>
        <v>0</v>
      </c>
      <c r="AM276" s="2">
        <f t="shared" si="116"/>
        <v>0</v>
      </c>
      <c r="AN276" s="2">
        <f t="shared" si="116"/>
        <v>0</v>
      </c>
      <c r="AO276" s="2">
        <f t="shared" si="116"/>
        <v>0</v>
      </c>
      <c r="AP276" s="2">
        <f t="shared" si="116"/>
        <v>0</v>
      </c>
      <c r="AQ276" s="2">
        <f t="shared" si="116"/>
        <v>0</v>
      </c>
      <c r="AR276" s="2">
        <f t="shared" si="116"/>
        <v>0</v>
      </c>
      <c r="AS276" s="2">
        <f t="shared" si="116"/>
        <v>0</v>
      </c>
      <c r="AT276" s="2">
        <f t="shared" si="116"/>
        <v>0</v>
      </c>
      <c r="AU276" s="2">
        <f t="shared" si="116"/>
        <v>0</v>
      </c>
      <c r="AV276" s="2">
        <f t="shared" si="116"/>
        <v>0</v>
      </c>
      <c r="AW276" s="2">
        <f t="shared" si="116"/>
        <v>0</v>
      </c>
      <c r="AX276" s="2">
        <f t="shared" si="116"/>
        <v>0</v>
      </c>
      <c r="AY276" s="2">
        <f t="shared" si="116"/>
        <v>0</v>
      </c>
      <c r="AZ276" s="2">
        <f t="shared" si="116"/>
        <v>0</v>
      </c>
      <c r="BA276" s="2">
        <f t="shared" si="116"/>
        <v>0</v>
      </c>
      <c r="BB276" s="2">
        <f t="shared" si="116"/>
        <v>0</v>
      </c>
      <c r="BC276" s="2">
        <f t="shared" si="116"/>
        <v>0</v>
      </c>
      <c r="BD276" s="2">
        <f t="shared" si="116"/>
        <v>0</v>
      </c>
      <c r="BE276" s="2">
        <f t="shared" si="116"/>
        <v>0</v>
      </c>
      <c r="BF276" s="2">
        <f t="shared" si="116"/>
        <v>0</v>
      </c>
      <c r="BG276" s="2">
        <f t="shared" si="116"/>
        <v>0</v>
      </c>
      <c r="BH276" s="2">
        <f t="shared" si="116"/>
        <v>0</v>
      </c>
      <c r="BI276" s="2">
        <f t="shared" si="116"/>
        <v>0</v>
      </c>
      <c r="BJ276" s="2">
        <f t="shared" si="116"/>
        <v>0</v>
      </c>
      <c r="BK276" s="2">
        <f t="shared" si="116"/>
        <v>0</v>
      </c>
      <c r="BL276" s="2">
        <f t="shared" si="116"/>
        <v>0</v>
      </c>
      <c r="BM276" s="2">
        <f t="shared" si="116"/>
        <v>0</v>
      </c>
      <c r="BN276" s="2">
        <f t="shared" si="116"/>
        <v>0</v>
      </c>
      <c r="BO276" s="2">
        <f t="shared" si="116"/>
        <v>0</v>
      </c>
      <c r="BP276" s="2">
        <f t="shared" si="116"/>
        <v>0</v>
      </c>
      <c r="BQ276" s="2">
        <f t="shared" si="116"/>
        <v>0</v>
      </c>
    </row>
    <row r="277" spans="1:69" outlineLevel="2">
      <c r="E277" s="47" t="s">
        <v>32</v>
      </c>
      <c r="H277" s="2">
        <f xml:space="preserve"> SUM( J277:BQ277 )</f>
        <v>2</v>
      </c>
      <c r="J277" s="2">
        <f t="shared" ref="J277:BQ277" si="117" xml:space="preserve">  J275 * J276</f>
        <v>0</v>
      </c>
      <c r="K277" s="2">
        <f t="shared" si="117"/>
        <v>2</v>
      </c>
      <c r="L277" s="2">
        <f t="shared" si="117"/>
        <v>0</v>
      </c>
      <c r="M277" s="2">
        <f t="shared" si="117"/>
        <v>0</v>
      </c>
      <c r="N277" s="2">
        <f t="shared" si="117"/>
        <v>0</v>
      </c>
      <c r="O277" s="2">
        <f t="shared" si="117"/>
        <v>0</v>
      </c>
      <c r="P277" s="2">
        <f t="shared" si="117"/>
        <v>0</v>
      </c>
      <c r="Q277" s="2">
        <f t="shared" si="117"/>
        <v>0</v>
      </c>
      <c r="R277" s="2">
        <f t="shared" si="117"/>
        <v>0</v>
      </c>
      <c r="S277" s="2">
        <f t="shared" si="117"/>
        <v>0</v>
      </c>
      <c r="T277" s="2">
        <f t="shared" si="117"/>
        <v>0</v>
      </c>
      <c r="U277" s="2">
        <f t="shared" si="117"/>
        <v>0</v>
      </c>
      <c r="V277" s="2">
        <f t="shared" si="117"/>
        <v>0</v>
      </c>
      <c r="W277" s="2">
        <f t="shared" si="117"/>
        <v>0</v>
      </c>
      <c r="X277" s="2">
        <f t="shared" si="117"/>
        <v>0</v>
      </c>
      <c r="Y277" s="2">
        <f t="shared" si="117"/>
        <v>0</v>
      </c>
      <c r="Z277" s="2">
        <f t="shared" si="117"/>
        <v>0</v>
      </c>
      <c r="AA277" s="2">
        <f t="shared" si="117"/>
        <v>0</v>
      </c>
      <c r="AB277" s="2">
        <f t="shared" si="117"/>
        <v>0</v>
      </c>
      <c r="AC277" s="2">
        <f t="shared" si="117"/>
        <v>0</v>
      </c>
      <c r="AD277" s="2">
        <f t="shared" si="117"/>
        <v>0</v>
      </c>
      <c r="AE277" s="2">
        <f t="shared" si="117"/>
        <v>0</v>
      </c>
      <c r="AF277" s="2">
        <f t="shared" si="117"/>
        <v>0</v>
      </c>
      <c r="AG277" s="2">
        <f t="shared" si="117"/>
        <v>0</v>
      </c>
      <c r="AH277" s="2">
        <f t="shared" si="117"/>
        <v>0</v>
      </c>
      <c r="AI277" s="2">
        <f t="shared" si="117"/>
        <v>0</v>
      </c>
      <c r="AJ277" s="2">
        <f t="shared" si="117"/>
        <v>0</v>
      </c>
      <c r="AK277" s="2">
        <f t="shared" si="117"/>
        <v>0</v>
      </c>
      <c r="AL277" s="2">
        <f t="shared" si="117"/>
        <v>0</v>
      </c>
      <c r="AM277" s="2">
        <f t="shared" si="117"/>
        <v>0</v>
      </c>
      <c r="AN277" s="2">
        <f t="shared" si="117"/>
        <v>0</v>
      </c>
      <c r="AO277" s="2">
        <f t="shared" si="117"/>
        <v>0</v>
      </c>
      <c r="AP277" s="2">
        <f t="shared" si="117"/>
        <v>0</v>
      </c>
      <c r="AQ277" s="2">
        <f t="shared" si="117"/>
        <v>0</v>
      </c>
      <c r="AR277" s="2">
        <f t="shared" si="117"/>
        <v>0</v>
      </c>
      <c r="AS277" s="2">
        <f t="shared" si="117"/>
        <v>0</v>
      </c>
      <c r="AT277" s="2">
        <f t="shared" si="117"/>
        <v>0</v>
      </c>
      <c r="AU277" s="2">
        <f t="shared" si="117"/>
        <v>0</v>
      </c>
      <c r="AV277" s="2">
        <f t="shared" si="117"/>
        <v>0</v>
      </c>
      <c r="AW277" s="2">
        <f t="shared" si="117"/>
        <v>0</v>
      </c>
      <c r="AX277" s="2">
        <f t="shared" si="117"/>
        <v>0</v>
      </c>
      <c r="AY277" s="2">
        <f t="shared" si="117"/>
        <v>0</v>
      </c>
      <c r="AZ277" s="2">
        <f t="shared" si="117"/>
        <v>0</v>
      </c>
      <c r="BA277" s="2">
        <f t="shared" si="117"/>
        <v>0</v>
      </c>
      <c r="BB277" s="2">
        <f t="shared" si="117"/>
        <v>0</v>
      </c>
      <c r="BC277" s="2">
        <f t="shared" si="117"/>
        <v>0</v>
      </c>
      <c r="BD277" s="2">
        <f t="shared" si="117"/>
        <v>0</v>
      </c>
      <c r="BE277" s="2">
        <f t="shared" si="117"/>
        <v>0</v>
      </c>
      <c r="BF277" s="2">
        <f t="shared" si="117"/>
        <v>0</v>
      </c>
      <c r="BG277" s="2">
        <f t="shared" si="117"/>
        <v>0</v>
      </c>
      <c r="BH277" s="2">
        <f t="shared" si="117"/>
        <v>0</v>
      </c>
      <c r="BI277" s="2">
        <f t="shared" si="117"/>
        <v>0</v>
      </c>
      <c r="BJ277" s="2">
        <f t="shared" si="117"/>
        <v>0</v>
      </c>
      <c r="BK277" s="2">
        <f t="shared" si="117"/>
        <v>0</v>
      </c>
      <c r="BL277" s="2">
        <f t="shared" si="117"/>
        <v>0</v>
      </c>
      <c r="BM277" s="2">
        <f t="shared" si="117"/>
        <v>0</v>
      </c>
      <c r="BN277" s="2">
        <f t="shared" si="117"/>
        <v>0</v>
      </c>
      <c r="BO277" s="2">
        <f t="shared" si="117"/>
        <v>0</v>
      </c>
      <c r="BP277" s="2">
        <f t="shared" si="117"/>
        <v>0</v>
      </c>
      <c r="BQ277" s="2">
        <f t="shared" si="117"/>
        <v>0</v>
      </c>
    </row>
    <row r="278" spans="1:69" outlineLevel="1"/>
    <row r="279" spans="1:69" outlineLevel="1"/>
    <row r="280" spans="1:69" outlineLevel="1">
      <c r="B280" s="25" t="s">
        <v>243</v>
      </c>
    </row>
    <row r="281" spans="1:69" outlineLevel="2">
      <c r="A281" s="18"/>
      <c r="B281" s="18"/>
      <c r="C281" s="28"/>
      <c r="D281" s="27"/>
      <c r="E281" s="20" t="str">
        <f xml:space="preserve">  InpC!E$83</f>
        <v>VAT return this period beginning date</v>
      </c>
      <c r="F281" s="20">
        <f xml:space="preserve">  InpC!F$83</f>
        <v>45078</v>
      </c>
      <c r="G281" s="20" t="str">
        <f xml:space="preserve">  InpC!G$83</f>
        <v>date</v>
      </c>
      <c r="M281" s="8"/>
    </row>
    <row r="282" spans="1:69" outlineLevel="2">
      <c r="E282" s="8" t="str">
        <f t="shared" ref="E282:BQ282" si="118" xml:space="preserve">  E$19</f>
        <v>Model period end</v>
      </c>
      <c r="F282" s="8">
        <f t="shared" si="118"/>
        <v>0</v>
      </c>
      <c r="G282" s="8" t="str">
        <f t="shared" si="118"/>
        <v>date</v>
      </c>
      <c r="H282" s="8">
        <f t="shared" si="118"/>
        <v>0</v>
      </c>
      <c r="I282" s="8">
        <f t="shared" si="118"/>
        <v>0</v>
      </c>
      <c r="J282" s="8">
        <f t="shared" si="118"/>
        <v>45077</v>
      </c>
      <c r="K282" s="8">
        <f t="shared" si="118"/>
        <v>45107</v>
      </c>
      <c r="L282" s="8">
        <f t="shared" si="118"/>
        <v>45138</v>
      </c>
      <c r="M282" s="8">
        <f t="shared" si="118"/>
        <v>45169</v>
      </c>
      <c r="N282" s="8">
        <f t="shared" si="118"/>
        <v>45199</v>
      </c>
      <c r="O282" s="8">
        <f t="shared" si="118"/>
        <v>45230</v>
      </c>
      <c r="P282" s="8">
        <f t="shared" si="118"/>
        <v>45260</v>
      </c>
      <c r="Q282" s="8">
        <f t="shared" si="118"/>
        <v>45291</v>
      </c>
      <c r="R282" s="8">
        <f t="shared" si="118"/>
        <v>45322</v>
      </c>
      <c r="S282" s="8">
        <f t="shared" si="118"/>
        <v>45351</v>
      </c>
      <c r="T282" s="8">
        <f t="shared" si="118"/>
        <v>45382</v>
      </c>
      <c r="U282" s="8">
        <f t="shared" si="118"/>
        <v>45412</v>
      </c>
      <c r="V282" s="8">
        <f t="shared" si="118"/>
        <v>45443</v>
      </c>
      <c r="W282" s="8">
        <f t="shared" si="118"/>
        <v>45473</v>
      </c>
      <c r="X282" s="8">
        <f t="shared" si="118"/>
        <v>45504</v>
      </c>
      <c r="Y282" s="8">
        <f t="shared" si="118"/>
        <v>45535</v>
      </c>
      <c r="Z282" s="8">
        <f t="shared" si="118"/>
        <v>45565</v>
      </c>
      <c r="AA282" s="8">
        <f t="shared" si="118"/>
        <v>45596</v>
      </c>
      <c r="AB282" s="8">
        <f t="shared" si="118"/>
        <v>45626</v>
      </c>
      <c r="AC282" s="8">
        <f t="shared" si="118"/>
        <v>45657</v>
      </c>
      <c r="AD282" s="8">
        <f t="shared" si="118"/>
        <v>45688</v>
      </c>
      <c r="AE282" s="8">
        <f t="shared" si="118"/>
        <v>45716</v>
      </c>
      <c r="AF282" s="8">
        <f t="shared" si="118"/>
        <v>45747</v>
      </c>
      <c r="AG282" s="8">
        <f t="shared" si="118"/>
        <v>45777</v>
      </c>
      <c r="AH282" s="8">
        <f t="shared" si="118"/>
        <v>45808</v>
      </c>
      <c r="AI282" s="8">
        <f t="shared" si="118"/>
        <v>45838</v>
      </c>
      <c r="AJ282" s="8">
        <f t="shared" si="118"/>
        <v>45869</v>
      </c>
      <c r="AK282" s="8">
        <f t="shared" si="118"/>
        <v>45900</v>
      </c>
      <c r="AL282" s="8">
        <f t="shared" si="118"/>
        <v>45930</v>
      </c>
      <c r="AM282" s="8">
        <f t="shared" si="118"/>
        <v>45961</v>
      </c>
      <c r="AN282" s="8">
        <f t="shared" si="118"/>
        <v>45991</v>
      </c>
      <c r="AO282" s="8">
        <f t="shared" si="118"/>
        <v>46022</v>
      </c>
      <c r="AP282" s="8">
        <f t="shared" si="118"/>
        <v>46053</v>
      </c>
      <c r="AQ282" s="8">
        <f t="shared" si="118"/>
        <v>46081</v>
      </c>
      <c r="AR282" s="8">
        <f t="shared" si="118"/>
        <v>46112</v>
      </c>
      <c r="AS282" s="8">
        <f t="shared" si="118"/>
        <v>46142</v>
      </c>
      <c r="AT282" s="8">
        <f t="shared" si="118"/>
        <v>46173</v>
      </c>
      <c r="AU282" s="8">
        <f t="shared" si="118"/>
        <v>46203</v>
      </c>
      <c r="AV282" s="8">
        <f t="shared" si="118"/>
        <v>46234</v>
      </c>
      <c r="AW282" s="8">
        <f t="shared" si="118"/>
        <v>46265</v>
      </c>
      <c r="AX282" s="8">
        <f t="shared" si="118"/>
        <v>46295</v>
      </c>
      <c r="AY282" s="8">
        <f t="shared" si="118"/>
        <v>46326</v>
      </c>
      <c r="AZ282" s="8">
        <f t="shared" si="118"/>
        <v>46356</v>
      </c>
      <c r="BA282" s="8">
        <f t="shared" si="118"/>
        <v>46387</v>
      </c>
      <c r="BB282" s="8">
        <f t="shared" si="118"/>
        <v>46418</v>
      </c>
      <c r="BC282" s="8">
        <f t="shared" si="118"/>
        <v>46446</v>
      </c>
      <c r="BD282" s="8">
        <f t="shared" si="118"/>
        <v>46477</v>
      </c>
      <c r="BE282" s="8">
        <f t="shared" si="118"/>
        <v>46507</v>
      </c>
      <c r="BF282" s="8">
        <f t="shared" si="118"/>
        <v>46538</v>
      </c>
      <c r="BG282" s="8">
        <f t="shared" si="118"/>
        <v>46568</v>
      </c>
      <c r="BH282" s="8">
        <f t="shared" si="118"/>
        <v>46599</v>
      </c>
      <c r="BI282" s="8">
        <f t="shared" si="118"/>
        <v>46630</v>
      </c>
      <c r="BJ282" s="8">
        <f t="shared" si="118"/>
        <v>46660</v>
      </c>
      <c r="BK282" s="8">
        <f t="shared" si="118"/>
        <v>46691</v>
      </c>
      <c r="BL282" s="8">
        <f t="shared" si="118"/>
        <v>46721</v>
      </c>
      <c r="BM282" s="8">
        <f t="shared" si="118"/>
        <v>46752</v>
      </c>
      <c r="BN282" s="8">
        <f t="shared" si="118"/>
        <v>46783</v>
      </c>
      <c r="BO282" s="8">
        <f t="shared" si="118"/>
        <v>46812</v>
      </c>
      <c r="BP282" s="8">
        <f t="shared" si="118"/>
        <v>46843</v>
      </c>
      <c r="BQ282" s="8">
        <f t="shared" si="118"/>
        <v>46873</v>
      </c>
    </row>
    <row r="283" spans="1:69" outlineLevel="2">
      <c r="E283" s="8" t="str">
        <f t="shared" ref="E283:BQ283" si="119" xml:space="preserve">  E$12</f>
        <v>Model period start</v>
      </c>
      <c r="F283" s="8">
        <f t="shared" si="119"/>
        <v>0</v>
      </c>
      <c r="G283" s="8" t="str">
        <f t="shared" si="119"/>
        <v>date</v>
      </c>
      <c r="H283" s="8">
        <f t="shared" si="119"/>
        <v>0</v>
      </c>
      <c r="I283" s="8">
        <f t="shared" si="119"/>
        <v>0</v>
      </c>
      <c r="J283" s="8">
        <f t="shared" si="119"/>
        <v>45047</v>
      </c>
      <c r="K283" s="8">
        <f t="shared" si="119"/>
        <v>45078</v>
      </c>
      <c r="L283" s="8">
        <f t="shared" si="119"/>
        <v>45108</v>
      </c>
      <c r="M283" s="8">
        <f t="shared" si="119"/>
        <v>45139</v>
      </c>
      <c r="N283" s="8">
        <f t="shared" si="119"/>
        <v>45170</v>
      </c>
      <c r="O283" s="8">
        <f t="shared" si="119"/>
        <v>45200</v>
      </c>
      <c r="P283" s="8">
        <f t="shared" si="119"/>
        <v>45231</v>
      </c>
      <c r="Q283" s="8">
        <f t="shared" si="119"/>
        <v>45261</v>
      </c>
      <c r="R283" s="8">
        <f t="shared" si="119"/>
        <v>45292</v>
      </c>
      <c r="S283" s="8">
        <f t="shared" si="119"/>
        <v>45323</v>
      </c>
      <c r="T283" s="8">
        <f t="shared" si="119"/>
        <v>45352</v>
      </c>
      <c r="U283" s="8">
        <f t="shared" si="119"/>
        <v>45383</v>
      </c>
      <c r="V283" s="8">
        <f t="shared" si="119"/>
        <v>45413</v>
      </c>
      <c r="W283" s="8">
        <f t="shared" si="119"/>
        <v>45444</v>
      </c>
      <c r="X283" s="8">
        <f t="shared" si="119"/>
        <v>45474</v>
      </c>
      <c r="Y283" s="8">
        <f t="shared" si="119"/>
        <v>45505</v>
      </c>
      <c r="Z283" s="8">
        <f t="shared" si="119"/>
        <v>45536</v>
      </c>
      <c r="AA283" s="8">
        <f t="shared" si="119"/>
        <v>45566</v>
      </c>
      <c r="AB283" s="8">
        <f t="shared" si="119"/>
        <v>45597</v>
      </c>
      <c r="AC283" s="8">
        <f t="shared" si="119"/>
        <v>45627</v>
      </c>
      <c r="AD283" s="8">
        <f t="shared" si="119"/>
        <v>45658</v>
      </c>
      <c r="AE283" s="8">
        <f t="shared" si="119"/>
        <v>45689</v>
      </c>
      <c r="AF283" s="8">
        <f t="shared" si="119"/>
        <v>45717</v>
      </c>
      <c r="AG283" s="8">
        <f t="shared" si="119"/>
        <v>45748</v>
      </c>
      <c r="AH283" s="8">
        <f t="shared" si="119"/>
        <v>45778</v>
      </c>
      <c r="AI283" s="8">
        <f t="shared" si="119"/>
        <v>45809</v>
      </c>
      <c r="AJ283" s="8">
        <f t="shared" si="119"/>
        <v>45839</v>
      </c>
      <c r="AK283" s="8">
        <f t="shared" si="119"/>
        <v>45870</v>
      </c>
      <c r="AL283" s="8">
        <f t="shared" si="119"/>
        <v>45901</v>
      </c>
      <c r="AM283" s="8">
        <f t="shared" si="119"/>
        <v>45931</v>
      </c>
      <c r="AN283" s="8">
        <f t="shared" si="119"/>
        <v>45962</v>
      </c>
      <c r="AO283" s="8">
        <f t="shared" si="119"/>
        <v>45992</v>
      </c>
      <c r="AP283" s="8">
        <f t="shared" si="119"/>
        <v>46023</v>
      </c>
      <c r="AQ283" s="8">
        <f t="shared" si="119"/>
        <v>46054</v>
      </c>
      <c r="AR283" s="8">
        <f t="shared" si="119"/>
        <v>46082</v>
      </c>
      <c r="AS283" s="8">
        <f t="shared" si="119"/>
        <v>46113</v>
      </c>
      <c r="AT283" s="8">
        <f t="shared" si="119"/>
        <v>46143</v>
      </c>
      <c r="AU283" s="8">
        <f t="shared" si="119"/>
        <v>46174</v>
      </c>
      <c r="AV283" s="8">
        <f t="shared" si="119"/>
        <v>46204</v>
      </c>
      <c r="AW283" s="8">
        <f t="shared" si="119"/>
        <v>46235</v>
      </c>
      <c r="AX283" s="8">
        <f t="shared" si="119"/>
        <v>46266</v>
      </c>
      <c r="AY283" s="8">
        <f t="shared" si="119"/>
        <v>46296</v>
      </c>
      <c r="AZ283" s="8">
        <f t="shared" si="119"/>
        <v>46327</v>
      </c>
      <c r="BA283" s="8">
        <f t="shared" si="119"/>
        <v>46357</v>
      </c>
      <c r="BB283" s="8">
        <f t="shared" si="119"/>
        <v>46388</v>
      </c>
      <c r="BC283" s="8">
        <f t="shared" si="119"/>
        <v>46419</v>
      </c>
      <c r="BD283" s="8">
        <f t="shared" si="119"/>
        <v>46447</v>
      </c>
      <c r="BE283" s="8">
        <f t="shared" si="119"/>
        <v>46478</v>
      </c>
      <c r="BF283" s="8">
        <f t="shared" si="119"/>
        <v>46508</v>
      </c>
      <c r="BG283" s="8">
        <f t="shared" si="119"/>
        <v>46539</v>
      </c>
      <c r="BH283" s="8">
        <f t="shared" si="119"/>
        <v>46569</v>
      </c>
      <c r="BI283" s="8">
        <f t="shared" si="119"/>
        <v>46600</v>
      </c>
      <c r="BJ283" s="8">
        <f t="shared" si="119"/>
        <v>46631</v>
      </c>
      <c r="BK283" s="8">
        <f t="shared" si="119"/>
        <v>46661</v>
      </c>
      <c r="BL283" s="8">
        <f t="shared" si="119"/>
        <v>46692</v>
      </c>
      <c r="BM283" s="8">
        <f t="shared" si="119"/>
        <v>46722</v>
      </c>
      <c r="BN283" s="8">
        <f t="shared" si="119"/>
        <v>46753</v>
      </c>
      <c r="BO283" s="8">
        <f t="shared" si="119"/>
        <v>46784</v>
      </c>
      <c r="BP283" s="8">
        <f t="shared" si="119"/>
        <v>46813</v>
      </c>
      <c r="BQ283" s="8">
        <f t="shared" si="119"/>
        <v>46844</v>
      </c>
    </row>
    <row r="284" spans="1:69" outlineLevel="2">
      <c r="E284" s="47" t="s">
        <v>243</v>
      </c>
      <c r="G284" s="47" t="s">
        <v>20</v>
      </c>
      <c r="H284" s="2">
        <f xml:space="preserve"> SUM( J284:BQ284 )</f>
        <v>1</v>
      </c>
      <c r="J284" s="2">
        <f t="shared" ref="J284:BQ284" si="120" xml:space="preserve">  IF( AND( J282 &gt;= $F281, J283 &lt;= $F281 ), 1, 0 )</f>
        <v>0</v>
      </c>
      <c r="K284" s="2">
        <f t="shared" si="120"/>
        <v>1</v>
      </c>
      <c r="L284" s="2">
        <f t="shared" si="120"/>
        <v>0</v>
      </c>
      <c r="M284" s="2">
        <f t="shared" si="120"/>
        <v>0</v>
      </c>
      <c r="N284" s="2">
        <f t="shared" si="120"/>
        <v>0</v>
      </c>
      <c r="O284" s="2">
        <f t="shared" si="120"/>
        <v>0</v>
      </c>
      <c r="P284" s="2">
        <f t="shared" si="120"/>
        <v>0</v>
      </c>
      <c r="Q284" s="2">
        <f t="shared" si="120"/>
        <v>0</v>
      </c>
      <c r="R284" s="2">
        <f t="shared" si="120"/>
        <v>0</v>
      </c>
      <c r="S284" s="2">
        <f t="shared" si="120"/>
        <v>0</v>
      </c>
      <c r="T284" s="2">
        <f t="shared" si="120"/>
        <v>0</v>
      </c>
      <c r="U284" s="2">
        <f t="shared" si="120"/>
        <v>0</v>
      </c>
      <c r="V284" s="2">
        <f t="shared" si="120"/>
        <v>0</v>
      </c>
      <c r="W284" s="2">
        <f t="shared" si="120"/>
        <v>0</v>
      </c>
      <c r="X284" s="2">
        <f t="shared" si="120"/>
        <v>0</v>
      </c>
      <c r="Y284" s="2">
        <f t="shared" si="120"/>
        <v>0</v>
      </c>
      <c r="Z284" s="2">
        <f t="shared" si="120"/>
        <v>0</v>
      </c>
      <c r="AA284" s="2">
        <f t="shared" si="120"/>
        <v>0</v>
      </c>
      <c r="AB284" s="2">
        <f t="shared" si="120"/>
        <v>0</v>
      </c>
      <c r="AC284" s="2">
        <f t="shared" si="120"/>
        <v>0</v>
      </c>
      <c r="AD284" s="2">
        <f t="shared" si="120"/>
        <v>0</v>
      </c>
      <c r="AE284" s="2">
        <f t="shared" si="120"/>
        <v>0</v>
      </c>
      <c r="AF284" s="2">
        <f t="shared" si="120"/>
        <v>0</v>
      </c>
      <c r="AG284" s="2">
        <f t="shared" si="120"/>
        <v>0</v>
      </c>
      <c r="AH284" s="2">
        <f t="shared" si="120"/>
        <v>0</v>
      </c>
      <c r="AI284" s="2">
        <f t="shared" si="120"/>
        <v>0</v>
      </c>
      <c r="AJ284" s="2">
        <f t="shared" si="120"/>
        <v>0</v>
      </c>
      <c r="AK284" s="2">
        <f t="shared" si="120"/>
        <v>0</v>
      </c>
      <c r="AL284" s="2">
        <f t="shared" si="120"/>
        <v>0</v>
      </c>
      <c r="AM284" s="2">
        <f t="shared" si="120"/>
        <v>0</v>
      </c>
      <c r="AN284" s="2">
        <f t="shared" si="120"/>
        <v>0</v>
      </c>
      <c r="AO284" s="2">
        <f t="shared" si="120"/>
        <v>0</v>
      </c>
      <c r="AP284" s="2">
        <f t="shared" si="120"/>
        <v>0</v>
      </c>
      <c r="AQ284" s="2">
        <f t="shared" si="120"/>
        <v>0</v>
      </c>
      <c r="AR284" s="2">
        <f t="shared" si="120"/>
        <v>0</v>
      </c>
      <c r="AS284" s="2">
        <f t="shared" si="120"/>
        <v>0</v>
      </c>
      <c r="AT284" s="2">
        <f t="shared" si="120"/>
        <v>0</v>
      </c>
      <c r="AU284" s="2">
        <f t="shared" si="120"/>
        <v>0</v>
      </c>
      <c r="AV284" s="2">
        <f t="shared" si="120"/>
        <v>0</v>
      </c>
      <c r="AW284" s="2">
        <f t="shared" si="120"/>
        <v>0</v>
      </c>
      <c r="AX284" s="2">
        <f t="shared" si="120"/>
        <v>0</v>
      </c>
      <c r="AY284" s="2">
        <f t="shared" si="120"/>
        <v>0</v>
      </c>
      <c r="AZ284" s="2">
        <f t="shared" si="120"/>
        <v>0</v>
      </c>
      <c r="BA284" s="2">
        <f t="shared" si="120"/>
        <v>0</v>
      </c>
      <c r="BB284" s="2">
        <f t="shared" si="120"/>
        <v>0</v>
      </c>
      <c r="BC284" s="2">
        <f t="shared" si="120"/>
        <v>0</v>
      </c>
      <c r="BD284" s="2">
        <f t="shared" si="120"/>
        <v>0</v>
      </c>
      <c r="BE284" s="2">
        <f t="shared" si="120"/>
        <v>0</v>
      </c>
      <c r="BF284" s="2">
        <f t="shared" si="120"/>
        <v>0</v>
      </c>
      <c r="BG284" s="2">
        <f t="shared" si="120"/>
        <v>0</v>
      </c>
      <c r="BH284" s="2">
        <f t="shared" si="120"/>
        <v>0</v>
      </c>
      <c r="BI284" s="2">
        <f t="shared" si="120"/>
        <v>0</v>
      </c>
      <c r="BJ284" s="2">
        <f t="shared" si="120"/>
        <v>0</v>
      </c>
      <c r="BK284" s="2">
        <f t="shared" si="120"/>
        <v>0</v>
      </c>
      <c r="BL284" s="2">
        <f t="shared" si="120"/>
        <v>0</v>
      </c>
      <c r="BM284" s="2">
        <f t="shared" si="120"/>
        <v>0</v>
      </c>
      <c r="BN284" s="2">
        <f t="shared" si="120"/>
        <v>0</v>
      </c>
      <c r="BO284" s="2">
        <f t="shared" si="120"/>
        <v>0</v>
      </c>
      <c r="BP284" s="2">
        <f t="shared" si="120"/>
        <v>0</v>
      </c>
      <c r="BQ284" s="2">
        <f t="shared" si="120"/>
        <v>0</v>
      </c>
    </row>
    <row r="285" spans="1:69" outlineLevel="1"/>
    <row r="287" spans="1:69">
      <c r="A287" s="25" t="s">
        <v>57</v>
      </c>
    </row>
    <row r="288" spans="1:69" outlineLevel="1">
      <c r="B288" s="25" t="s">
        <v>57</v>
      </c>
    </row>
    <row r="289" spans="1:69" outlineLevel="2">
      <c r="A289" s="18"/>
      <c r="B289" s="18"/>
      <c r="C289" s="28"/>
      <c r="D289" s="27"/>
      <c r="E289" s="20" t="str">
        <f xml:space="preserve">  InpC!E$95</f>
        <v>Use short term forecast flag end date</v>
      </c>
      <c r="F289" s="20">
        <f xml:space="preserve">  InpC!F$95</f>
        <v>45413</v>
      </c>
      <c r="G289" s="20" t="str">
        <f xml:space="preserve">  InpC!G$95</f>
        <v>date</v>
      </c>
      <c r="M289" s="8"/>
    </row>
    <row r="290" spans="1:69" outlineLevel="2">
      <c r="E290" s="8" t="str">
        <f t="shared" ref="E290:BQ290" si="121" xml:space="preserve">  E$12</f>
        <v>Model period start</v>
      </c>
      <c r="F290" s="8">
        <f t="shared" si="121"/>
        <v>0</v>
      </c>
      <c r="G290" s="8" t="str">
        <f t="shared" si="121"/>
        <v>date</v>
      </c>
      <c r="H290" s="8">
        <f t="shared" si="121"/>
        <v>0</v>
      </c>
      <c r="I290" s="8">
        <f t="shared" si="121"/>
        <v>0</v>
      </c>
      <c r="J290" s="8">
        <f t="shared" si="121"/>
        <v>45047</v>
      </c>
      <c r="K290" s="8">
        <f t="shared" si="121"/>
        <v>45078</v>
      </c>
      <c r="L290" s="8">
        <f t="shared" si="121"/>
        <v>45108</v>
      </c>
      <c r="M290" s="8">
        <f t="shared" si="121"/>
        <v>45139</v>
      </c>
      <c r="N290" s="8">
        <f t="shared" si="121"/>
        <v>45170</v>
      </c>
      <c r="O290" s="8">
        <f t="shared" si="121"/>
        <v>45200</v>
      </c>
      <c r="P290" s="8">
        <f t="shared" si="121"/>
        <v>45231</v>
      </c>
      <c r="Q290" s="8">
        <f t="shared" si="121"/>
        <v>45261</v>
      </c>
      <c r="R290" s="8">
        <f t="shared" si="121"/>
        <v>45292</v>
      </c>
      <c r="S290" s="8">
        <f t="shared" si="121"/>
        <v>45323</v>
      </c>
      <c r="T290" s="8">
        <f t="shared" si="121"/>
        <v>45352</v>
      </c>
      <c r="U290" s="8">
        <f t="shared" si="121"/>
        <v>45383</v>
      </c>
      <c r="V290" s="8">
        <f t="shared" si="121"/>
        <v>45413</v>
      </c>
      <c r="W290" s="8">
        <f t="shared" si="121"/>
        <v>45444</v>
      </c>
      <c r="X290" s="8">
        <f t="shared" si="121"/>
        <v>45474</v>
      </c>
      <c r="Y290" s="8">
        <f t="shared" si="121"/>
        <v>45505</v>
      </c>
      <c r="Z290" s="8">
        <f t="shared" si="121"/>
        <v>45536</v>
      </c>
      <c r="AA290" s="8">
        <f t="shared" si="121"/>
        <v>45566</v>
      </c>
      <c r="AB290" s="8">
        <f t="shared" si="121"/>
        <v>45597</v>
      </c>
      <c r="AC290" s="8">
        <f t="shared" si="121"/>
        <v>45627</v>
      </c>
      <c r="AD290" s="8">
        <f t="shared" si="121"/>
        <v>45658</v>
      </c>
      <c r="AE290" s="8">
        <f t="shared" si="121"/>
        <v>45689</v>
      </c>
      <c r="AF290" s="8">
        <f t="shared" si="121"/>
        <v>45717</v>
      </c>
      <c r="AG290" s="8">
        <f t="shared" si="121"/>
        <v>45748</v>
      </c>
      <c r="AH290" s="8">
        <f t="shared" si="121"/>
        <v>45778</v>
      </c>
      <c r="AI290" s="8">
        <f t="shared" si="121"/>
        <v>45809</v>
      </c>
      <c r="AJ290" s="8">
        <f t="shared" si="121"/>
        <v>45839</v>
      </c>
      <c r="AK290" s="8">
        <f t="shared" si="121"/>
        <v>45870</v>
      </c>
      <c r="AL290" s="8">
        <f t="shared" si="121"/>
        <v>45901</v>
      </c>
      <c r="AM290" s="8">
        <f t="shared" si="121"/>
        <v>45931</v>
      </c>
      <c r="AN290" s="8">
        <f t="shared" si="121"/>
        <v>45962</v>
      </c>
      <c r="AO290" s="8">
        <f t="shared" si="121"/>
        <v>45992</v>
      </c>
      <c r="AP290" s="8">
        <f t="shared" si="121"/>
        <v>46023</v>
      </c>
      <c r="AQ290" s="8">
        <f t="shared" si="121"/>
        <v>46054</v>
      </c>
      <c r="AR290" s="8">
        <f t="shared" si="121"/>
        <v>46082</v>
      </c>
      <c r="AS290" s="8">
        <f t="shared" si="121"/>
        <v>46113</v>
      </c>
      <c r="AT290" s="8">
        <f t="shared" si="121"/>
        <v>46143</v>
      </c>
      <c r="AU290" s="8">
        <f t="shared" si="121"/>
        <v>46174</v>
      </c>
      <c r="AV290" s="8">
        <f t="shared" si="121"/>
        <v>46204</v>
      </c>
      <c r="AW290" s="8">
        <f t="shared" si="121"/>
        <v>46235</v>
      </c>
      <c r="AX290" s="8">
        <f t="shared" si="121"/>
        <v>46266</v>
      </c>
      <c r="AY290" s="8">
        <f t="shared" si="121"/>
        <v>46296</v>
      </c>
      <c r="AZ290" s="8">
        <f t="shared" si="121"/>
        <v>46327</v>
      </c>
      <c r="BA290" s="8">
        <f t="shared" si="121"/>
        <v>46357</v>
      </c>
      <c r="BB290" s="8">
        <f t="shared" si="121"/>
        <v>46388</v>
      </c>
      <c r="BC290" s="8">
        <f t="shared" si="121"/>
        <v>46419</v>
      </c>
      <c r="BD290" s="8">
        <f t="shared" si="121"/>
        <v>46447</v>
      </c>
      <c r="BE290" s="8">
        <f t="shared" si="121"/>
        <v>46478</v>
      </c>
      <c r="BF290" s="8">
        <f t="shared" si="121"/>
        <v>46508</v>
      </c>
      <c r="BG290" s="8">
        <f t="shared" si="121"/>
        <v>46539</v>
      </c>
      <c r="BH290" s="8">
        <f t="shared" si="121"/>
        <v>46569</v>
      </c>
      <c r="BI290" s="8">
        <f t="shared" si="121"/>
        <v>46600</v>
      </c>
      <c r="BJ290" s="8">
        <f t="shared" si="121"/>
        <v>46631</v>
      </c>
      <c r="BK290" s="8">
        <f t="shared" si="121"/>
        <v>46661</v>
      </c>
      <c r="BL290" s="8">
        <f t="shared" si="121"/>
        <v>46692</v>
      </c>
      <c r="BM290" s="8">
        <f t="shared" si="121"/>
        <v>46722</v>
      </c>
      <c r="BN290" s="8">
        <f t="shared" si="121"/>
        <v>46753</v>
      </c>
      <c r="BO290" s="8">
        <f t="shared" si="121"/>
        <v>46784</v>
      </c>
      <c r="BP290" s="8">
        <f t="shared" si="121"/>
        <v>46813</v>
      </c>
      <c r="BQ290" s="8">
        <f t="shared" si="121"/>
        <v>46844</v>
      </c>
    </row>
    <row r="291" spans="1:69" outlineLevel="2">
      <c r="A291" s="34"/>
      <c r="B291" s="34"/>
      <c r="C291" s="64"/>
      <c r="D291" s="65"/>
      <c r="E291" s="21" t="s">
        <v>57</v>
      </c>
      <c r="F291" s="21"/>
      <c r="G291" s="21" t="s">
        <v>20</v>
      </c>
      <c r="H291" s="3">
        <f xml:space="preserve"> SUM( J291:BQ291 )</f>
        <v>12</v>
      </c>
      <c r="I291" s="21"/>
      <c r="J291" s="3">
        <f t="shared" ref="J291:BQ291" si="122" xml:space="preserve">  IF( J290 &gt;= $F289, 0, 1 )</f>
        <v>1</v>
      </c>
      <c r="K291" s="3">
        <f t="shared" si="122"/>
        <v>1</v>
      </c>
      <c r="L291" s="3">
        <f t="shared" si="122"/>
        <v>1</v>
      </c>
      <c r="M291" s="3">
        <f t="shared" si="122"/>
        <v>1</v>
      </c>
      <c r="N291" s="3">
        <f t="shared" si="122"/>
        <v>1</v>
      </c>
      <c r="O291" s="3">
        <f t="shared" si="122"/>
        <v>1</v>
      </c>
      <c r="P291" s="3">
        <f t="shared" si="122"/>
        <v>1</v>
      </c>
      <c r="Q291" s="3">
        <f t="shared" si="122"/>
        <v>1</v>
      </c>
      <c r="R291" s="3">
        <f t="shared" si="122"/>
        <v>1</v>
      </c>
      <c r="S291" s="3">
        <f t="shared" si="122"/>
        <v>1</v>
      </c>
      <c r="T291" s="3">
        <f t="shared" si="122"/>
        <v>1</v>
      </c>
      <c r="U291" s="3">
        <f t="shared" si="122"/>
        <v>1</v>
      </c>
      <c r="V291" s="3">
        <f t="shared" si="122"/>
        <v>0</v>
      </c>
      <c r="W291" s="3">
        <f t="shared" si="122"/>
        <v>0</v>
      </c>
      <c r="X291" s="3">
        <f t="shared" si="122"/>
        <v>0</v>
      </c>
      <c r="Y291" s="3">
        <f t="shared" si="122"/>
        <v>0</v>
      </c>
      <c r="Z291" s="3">
        <f t="shared" si="122"/>
        <v>0</v>
      </c>
      <c r="AA291" s="3">
        <f t="shared" si="122"/>
        <v>0</v>
      </c>
      <c r="AB291" s="3">
        <f t="shared" si="122"/>
        <v>0</v>
      </c>
      <c r="AC291" s="3">
        <f t="shared" si="122"/>
        <v>0</v>
      </c>
      <c r="AD291" s="3">
        <f t="shared" si="122"/>
        <v>0</v>
      </c>
      <c r="AE291" s="3">
        <f t="shared" si="122"/>
        <v>0</v>
      </c>
      <c r="AF291" s="3">
        <f t="shared" si="122"/>
        <v>0</v>
      </c>
      <c r="AG291" s="3">
        <f t="shared" si="122"/>
        <v>0</v>
      </c>
      <c r="AH291" s="3">
        <f t="shared" si="122"/>
        <v>0</v>
      </c>
      <c r="AI291" s="3">
        <f t="shared" si="122"/>
        <v>0</v>
      </c>
      <c r="AJ291" s="3">
        <f t="shared" si="122"/>
        <v>0</v>
      </c>
      <c r="AK291" s="3">
        <f t="shared" si="122"/>
        <v>0</v>
      </c>
      <c r="AL291" s="3">
        <f t="shared" si="122"/>
        <v>0</v>
      </c>
      <c r="AM291" s="3">
        <f t="shared" si="122"/>
        <v>0</v>
      </c>
      <c r="AN291" s="3">
        <f t="shared" si="122"/>
        <v>0</v>
      </c>
      <c r="AO291" s="3">
        <f t="shared" si="122"/>
        <v>0</v>
      </c>
      <c r="AP291" s="3">
        <f t="shared" si="122"/>
        <v>0</v>
      </c>
      <c r="AQ291" s="3">
        <f t="shared" si="122"/>
        <v>0</v>
      </c>
      <c r="AR291" s="3">
        <f t="shared" si="122"/>
        <v>0</v>
      </c>
      <c r="AS291" s="3">
        <f t="shared" si="122"/>
        <v>0</v>
      </c>
      <c r="AT291" s="3">
        <f t="shared" si="122"/>
        <v>0</v>
      </c>
      <c r="AU291" s="3">
        <f t="shared" si="122"/>
        <v>0</v>
      </c>
      <c r="AV291" s="3">
        <f t="shared" si="122"/>
        <v>0</v>
      </c>
      <c r="AW291" s="3">
        <f t="shared" si="122"/>
        <v>0</v>
      </c>
      <c r="AX291" s="3">
        <f t="shared" si="122"/>
        <v>0</v>
      </c>
      <c r="AY291" s="3">
        <f t="shared" si="122"/>
        <v>0</v>
      </c>
      <c r="AZ291" s="3">
        <f t="shared" si="122"/>
        <v>0</v>
      </c>
      <c r="BA291" s="3">
        <f t="shared" si="122"/>
        <v>0</v>
      </c>
      <c r="BB291" s="3">
        <f t="shared" si="122"/>
        <v>0</v>
      </c>
      <c r="BC291" s="3">
        <f t="shared" si="122"/>
        <v>0</v>
      </c>
      <c r="BD291" s="3">
        <f t="shared" si="122"/>
        <v>0</v>
      </c>
      <c r="BE291" s="3">
        <f t="shared" si="122"/>
        <v>0</v>
      </c>
      <c r="BF291" s="3">
        <f t="shared" si="122"/>
        <v>0</v>
      </c>
      <c r="BG291" s="3">
        <f t="shared" si="122"/>
        <v>0</v>
      </c>
      <c r="BH291" s="3">
        <f t="shared" si="122"/>
        <v>0</v>
      </c>
      <c r="BI291" s="3">
        <f t="shared" si="122"/>
        <v>0</v>
      </c>
      <c r="BJ291" s="3">
        <f t="shared" si="122"/>
        <v>0</v>
      </c>
      <c r="BK291" s="3">
        <f t="shared" si="122"/>
        <v>0</v>
      </c>
      <c r="BL291" s="3">
        <f t="shared" si="122"/>
        <v>0</v>
      </c>
      <c r="BM291" s="3">
        <f t="shared" si="122"/>
        <v>0</v>
      </c>
      <c r="BN291" s="3">
        <f t="shared" si="122"/>
        <v>0</v>
      </c>
      <c r="BO291" s="3">
        <f t="shared" si="122"/>
        <v>0</v>
      </c>
      <c r="BP291" s="3">
        <f t="shared" si="122"/>
        <v>0</v>
      </c>
      <c r="BQ291" s="3">
        <f t="shared" si="122"/>
        <v>0</v>
      </c>
    </row>
    <row r="292" spans="1:69" outlineLevel="1"/>
    <row r="294" spans="1:69">
      <c r="A294" s="25" t="s">
        <v>217</v>
      </c>
    </row>
    <row r="295" spans="1:69" outlineLevel="1">
      <c r="B295" s="25" t="s">
        <v>58</v>
      </c>
    </row>
    <row r="296" spans="1:69" outlineLevel="2">
      <c r="E296" s="5" t="str">
        <f t="shared" ref="E296:BQ296" si="123" xml:space="preserve">  E$28</f>
        <v>Period number</v>
      </c>
      <c r="F296" s="5">
        <f t="shared" si="123"/>
        <v>0</v>
      </c>
      <c r="G296" s="5" t="str">
        <f t="shared" si="123"/>
        <v>Counter</v>
      </c>
      <c r="H296" s="5">
        <f t="shared" si="123"/>
        <v>0</v>
      </c>
      <c r="I296" s="5">
        <f t="shared" si="123"/>
        <v>0</v>
      </c>
      <c r="J296" s="5">
        <f t="shared" si="123"/>
        <v>1</v>
      </c>
      <c r="K296" s="5">
        <f t="shared" si="123"/>
        <v>2</v>
      </c>
      <c r="L296" s="5">
        <f t="shared" si="123"/>
        <v>3</v>
      </c>
      <c r="M296" s="5">
        <f t="shared" si="123"/>
        <v>4</v>
      </c>
      <c r="N296" s="5">
        <f t="shared" si="123"/>
        <v>5</v>
      </c>
      <c r="O296" s="5">
        <f t="shared" si="123"/>
        <v>6</v>
      </c>
      <c r="P296" s="5">
        <f t="shared" si="123"/>
        <v>7</v>
      </c>
      <c r="Q296" s="5">
        <f t="shared" si="123"/>
        <v>8</v>
      </c>
      <c r="R296" s="5">
        <f t="shared" si="123"/>
        <v>9</v>
      </c>
      <c r="S296" s="5">
        <f t="shared" si="123"/>
        <v>10</v>
      </c>
      <c r="T296" s="5">
        <f t="shared" si="123"/>
        <v>11</v>
      </c>
      <c r="U296" s="5">
        <f t="shared" si="123"/>
        <v>12</v>
      </c>
      <c r="V296" s="5">
        <f t="shared" si="123"/>
        <v>13</v>
      </c>
      <c r="W296" s="5">
        <f t="shared" si="123"/>
        <v>14</v>
      </c>
      <c r="X296" s="5">
        <f t="shared" si="123"/>
        <v>15</v>
      </c>
      <c r="Y296" s="5">
        <f t="shared" si="123"/>
        <v>16</v>
      </c>
      <c r="Z296" s="5">
        <f t="shared" si="123"/>
        <v>17</v>
      </c>
      <c r="AA296" s="5">
        <f t="shared" si="123"/>
        <v>18</v>
      </c>
      <c r="AB296" s="5">
        <f t="shared" si="123"/>
        <v>19</v>
      </c>
      <c r="AC296" s="5">
        <f t="shared" si="123"/>
        <v>20</v>
      </c>
      <c r="AD296" s="5">
        <f t="shared" si="123"/>
        <v>21</v>
      </c>
      <c r="AE296" s="5">
        <f t="shared" si="123"/>
        <v>22</v>
      </c>
      <c r="AF296" s="5">
        <f t="shared" si="123"/>
        <v>23</v>
      </c>
      <c r="AG296" s="5">
        <f t="shared" si="123"/>
        <v>24</v>
      </c>
      <c r="AH296" s="5">
        <f t="shared" si="123"/>
        <v>25</v>
      </c>
      <c r="AI296" s="5">
        <f t="shared" si="123"/>
        <v>26</v>
      </c>
      <c r="AJ296" s="5">
        <f t="shared" si="123"/>
        <v>27</v>
      </c>
      <c r="AK296" s="5">
        <f t="shared" si="123"/>
        <v>28</v>
      </c>
      <c r="AL296" s="5">
        <f t="shared" si="123"/>
        <v>29</v>
      </c>
      <c r="AM296" s="5">
        <f t="shared" si="123"/>
        <v>30</v>
      </c>
      <c r="AN296" s="5">
        <f t="shared" si="123"/>
        <v>31</v>
      </c>
      <c r="AO296" s="5">
        <f t="shared" si="123"/>
        <v>32</v>
      </c>
      <c r="AP296" s="5">
        <f t="shared" si="123"/>
        <v>33</v>
      </c>
      <c r="AQ296" s="5">
        <f t="shared" si="123"/>
        <v>34</v>
      </c>
      <c r="AR296" s="5">
        <f t="shared" si="123"/>
        <v>35</v>
      </c>
      <c r="AS296" s="5">
        <f t="shared" si="123"/>
        <v>36</v>
      </c>
      <c r="AT296" s="5">
        <f t="shared" si="123"/>
        <v>37</v>
      </c>
      <c r="AU296" s="5">
        <f t="shared" si="123"/>
        <v>38</v>
      </c>
      <c r="AV296" s="5">
        <f t="shared" si="123"/>
        <v>39</v>
      </c>
      <c r="AW296" s="5">
        <f t="shared" si="123"/>
        <v>40</v>
      </c>
      <c r="AX296" s="5">
        <f t="shared" si="123"/>
        <v>41</v>
      </c>
      <c r="AY296" s="5">
        <f t="shared" si="123"/>
        <v>42</v>
      </c>
      <c r="AZ296" s="5">
        <f t="shared" si="123"/>
        <v>43</v>
      </c>
      <c r="BA296" s="5">
        <f t="shared" si="123"/>
        <v>44</v>
      </c>
      <c r="BB296" s="5">
        <f t="shared" si="123"/>
        <v>45</v>
      </c>
      <c r="BC296" s="5">
        <f t="shared" si="123"/>
        <v>46</v>
      </c>
      <c r="BD296" s="5">
        <f t="shared" si="123"/>
        <v>47</v>
      </c>
      <c r="BE296" s="5">
        <f t="shared" si="123"/>
        <v>48</v>
      </c>
      <c r="BF296" s="5">
        <f t="shared" si="123"/>
        <v>49</v>
      </c>
      <c r="BG296" s="5">
        <f t="shared" si="123"/>
        <v>50</v>
      </c>
      <c r="BH296" s="5">
        <f t="shared" si="123"/>
        <v>51</v>
      </c>
      <c r="BI296" s="5">
        <f t="shared" si="123"/>
        <v>52</v>
      </c>
      <c r="BJ296" s="5">
        <f t="shared" si="123"/>
        <v>53</v>
      </c>
      <c r="BK296" s="5">
        <f t="shared" si="123"/>
        <v>54</v>
      </c>
      <c r="BL296" s="5">
        <f t="shared" si="123"/>
        <v>55</v>
      </c>
      <c r="BM296" s="5">
        <f t="shared" si="123"/>
        <v>56</v>
      </c>
      <c r="BN296" s="5">
        <f t="shared" si="123"/>
        <v>57</v>
      </c>
      <c r="BO296" s="5">
        <f t="shared" si="123"/>
        <v>58</v>
      </c>
      <c r="BP296" s="5">
        <f t="shared" si="123"/>
        <v>59</v>
      </c>
      <c r="BQ296" s="5">
        <f t="shared" si="123"/>
        <v>60</v>
      </c>
    </row>
    <row r="297" spans="1:69" outlineLevel="2">
      <c r="E297" s="47" t="s">
        <v>58</v>
      </c>
      <c r="G297" s="47" t="s">
        <v>91</v>
      </c>
      <c r="J297" s="5">
        <f t="shared" ref="J297:BQ297" si="124" xml:space="preserve">  IF( J296 = 1, 1, I297 + IF( MOD( J296, 12 ) = 1, 1, 0 ) )</f>
        <v>1</v>
      </c>
      <c r="K297" s="5">
        <f t="shared" si="124"/>
        <v>1</v>
      </c>
      <c r="L297" s="5">
        <f t="shared" si="124"/>
        <v>1</v>
      </c>
      <c r="M297" s="5">
        <f t="shared" si="124"/>
        <v>1</v>
      </c>
      <c r="N297" s="5">
        <f t="shared" si="124"/>
        <v>1</v>
      </c>
      <c r="O297" s="5">
        <f t="shared" si="124"/>
        <v>1</v>
      </c>
      <c r="P297" s="5">
        <f t="shared" si="124"/>
        <v>1</v>
      </c>
      <c r="Q297" s="5">
        <f t="shared" si="124"/>
        <v>1</v>
      </c>
      <c r="R297" s="5">
        <f t="shared" si="124"/>
        <v>1</v>
      </c>
      <c r="S297" s="5">
        <f t="shared" si="124"/>
        <v>1</v>
      </c>
      <c r="T297" s="5">
        <f t="shared" si="124"/>
        <v>1</v>
      </c>
      <c r="U297" s="5">
        <f t="shared" si="124"/>
        <v>1</v>
      </c>
      <c r="V297" s="5">
        <f t="shared" si="124"/>
        <v>2</v>
      </c>
      <c r="W297" s="5">
        <f t="shared" si="124"/>
        <v>2</v>
      </c>
      <c r="X297" s="5">
        <f t="shared" si="124"/>
        <v>2</v>
      </c>
      <c r="Y297" s="5">
        <f t="shared" si="124"/>
        <v>2</v>
      </c>
      <c r="Z297" s="5">
        <f t="shared" si="124"/>
        <v>2</v>
      </c>
      <c r="AA297" s="5">
        <f t="shared" si="124"/>
        <v>2</v>
      </c>
      <c r="AB297" s="5">
        <f t="shared" si="124"/>
        <v>2</v>
      </c>
      <c r="AC297" s="5">
        <f t="shared" si="124"/>
        <v>2</v>
      </c>
      <c r="AD297" s="5">
        <f t="shared" si="124"/>
        <v>2</v>
      </c>
      <c r="AE297" s="5">
        <f t="shared" si="124"/>
        <v>2</v>
      </c>
      <c r="AF297" s="5">
        <f t="shared" si="124"/>
        <v>2</v>
      </c>
      <c r="AG297" s="5">
        <f t="shared" si="124"/>
        <v>2</v>
      </c>
      <c r="AH297" s="5">
        <f t="shared" si="124"/>
        <v>3</v>
      </c>
      <c r="AI297" s="5">
        <f t="shared" si="124"/>
        <v>3</v>
      </c>
      <c r="AJ297" s="5">
        <f t="shared" si="124"/>
        <v>3</v>
      </c>
      <c r="AK297" s="5">
        <f t="shared" si="124"/>
        <v>3</v>
      </c>
      <c r="AL297" s="5">
        <f t="shared" si="124"/>
        <v>3</v>
      </c>
      <c r="AM297" s="5">
        <f t="shared" si="124"/>
        <v>3</v>
      </c>
      <c r="AN297" s="5">
        <f t="shared" si="124"/>
        <v>3</v>
      </c>
      <c r="AO297" s="5">
        <f t="shared" si="124"/>
        <v>3</v>
      </c>
      <c r="AP297" s="5">
        <f t="shared" si="124"/>
        <v>3</v>
      </c>
      <c r="AQ297" s="5">
        <f t="shared" si="124"/>
        <v>3</v>
      </c>
      <c r="AR297" s="5">
        <f t="shared" si="124"/>
        <v>3</v>
      </c>
      <c r="AS297" s="5">
        <f t="shared" si="124"/>
        <v>3</v>
      </c>
      <c r="AT297" s="5">
        <f t="shared" si="124"/>
        <v>4</v>
      </c>
      <c r="AU297" s="5">
        <f t="shared" si="124"/>
        <v>4</v>
      </c>
      <c r="AV297" s="5">
        <f t="shared" si="124"/>
        <v>4</v>
      </c>
      <c r="AW297" s="5">
        <f t="shared" si="124"/>
        <v>4</v>
      </c>
      <c r="AX297" s="5">
        <f t="shared" si="124"/>
        <v>4</v>
      </c>
      <c r="AY297" s="5">
        <f t="shared" si="124"/>
        <v>4</v>
      </c>
      <c r="AZ297" s="5">
        <f t="shared" si="124"/>
        <v>4</v>
      </c>
      <c r="BA297" s="5">
        <f t="shared" si="124"/>
        <v>4</v>
      </c>
      <c r="BB297" s="5">
        <f t="shared" si="124"/>
        <v>4</v>
      </c>
      <c r="BC297" s="5">
        <f t="shared" si="124"/>
        <v>4</v>
      </c>
      <c r="BD297" s="5">
        <f t="shared" si="124"/>
        <v>4</v>
      </c>
      <c r="BE297" s="5">
        <f t="shared" si="124"/>
        <v>4</v>
      </c>
      <c r="BF297" s="5">
        <f t="shared" si="124"/>
        <v>5</v>
      </c>
      <c r="BG297" s="5">
        <f t="shared" si="124"/>
        <v>5</v>
      </c>
      <c r="BH297" s="5">
        <f t="shared" si="124"/>
        <v>5</v>
      </c>
      <c r="BI297" s="5">
        <f t="shared" si="124"/>
        <v>5</v>
      </c>
      <c r="BJ297" s="5">
        <f t="shared" si="124"/>
        <v>5</v>
      </c>
      <c r="BK297" s="5">
        <f t="shared" si="124"/>
        <v>5</v>
      </c>
      <c r="BL297" s="5">
        <f t="shared" si="124"/>
        <v>5</v>
      </c>
      <c r="BM297" s="5">
        <f t="shared" si="124"/>
        <v>5</v>
      </c>
      <c r="BN297" s="5">
        <f t="shared" si="124"/>
        <v>5</v>
      </c>
      <c r="BO297" s="5">
        <f t="shared" si="124"/>
        <v>5</v>
      </c>
      <c r="BP297" s="5">
        <f t="shared" si="124"/>
        <v>5</v>
      </c>
      <c r="BQ297" s="5">
        <f t="shared" si="124"/>
        <v>5</v>
      </c>
    </row>
    <row r="298" spans="1:69" outlineLevel="1"/>
    <row r="299" spans="1:69" outlineLevel="1"/>
    <row r="300" spans="1:69" outlineLevel="1">
      <c r="B300" s="25" t="s">
        <v>343</v>
      </c>
    </row>
    <row r="301" spans="1:69" outlineLevel="2">
      <c r="E301" s="5" t="str">
        <f t="shared" ref="E301:BQ301" si="125" xml:space="preserve">  E$28</f>
        <v>Period number</v>
      </c>
      <c r="F301" s="5">
        <f t="shared" si="125"/>
        <v>0</v>
      </c>
      <c r="G301" s="5" t="str">
        <f t="shared" si="125"/>
        <v>Counter</v>
      </c>
      <c r="H301" s="5">
        <f t="shared" si="125"/>
        <v>0</v>
      </c>
      <c r="I301" s="5">
        <f t="shared" si="125"/>
        <v>0</v>
      </c>
      <c r="J301" s="5">
        <f t="shared" si="125"/>
        <v>1</v>
      </c>
      <c r="K301" s="5">
        <f t="shared" si="125"/>
        <v>2</v>
      </c>
      <c r="L301" s="5">
        <f t="shared" si="125"/>
        <v>3</v>
      </c>
      <c r="M301" s="5">
        <f t="shared" si="125"/>
        <v>4</v>
      </c>
      <c r="N301" s="5">
        <f t="shared" si="125"/>
        <v>5</v>
      </c>
      <c r="O301" s="5">
        <f t="shared" si="125"/>
        <v>6</v>
      </c>
      <c r="P301" s="5">
        <f t="shared" si="125"/>
        <v>7</v>
      </c>
      <c r="Q301" s="5">
        <f t="shared" si="125"/>
        <v>8</v>
      </c>
      <c r="R301" s="5">
        <f t="shared" si="125"/>
        <v>9</v>
      </c>
      <c r="S301" s="5">
        <f t="shared" si="125"/>
        <v>10</v>
      </c>
      <c r="T301" s="5">
        <f t="shared" si="125"/>
        <v>11</v>
      </c>
      <c r="U301" s="5">
        <f t="shared" si="125"/>
        <v>12</v>
      </c>
      <c r="V301" s="5">
        <f t="shared" si="125"/>
        <v>13</v>
      </c>
      <c r="W301" s="5">
        <f t="shared" si="125"/>
        <v>14</v>
      </c>
      <c r="X301" s="5">
        <f t="shared" si="125"/>
        <v>15</v>
      </c>
      <c r="Y301" s="5">
        <f t="shared" si="125"/>
        <v>16</v>
      </c>
      <c r="Z301" s="5">
        <f t="shared" si="125"/>
        <v>17</v>
      </c>
      <c r="AA301" s="5">
        <f t="shared" si="125"/>
        <v>18</v>
      </c>
      <c r="AB301" s="5">
        <f t="shared" si="125"/>
        <v>19</v>
      </c>
      <c r="AC301" s="5">
        <f t="shared" si="125"/>
        <v>20</v>
      </c>
      <c r="AD301" s="5">
        <f t="shared" si="125"/>
        <v>21</v>
      </c>
      <c r="AE301" s="5">
        <f t="shared" si="125"/>
        <v>22</v>
      </c>
      <c r="AF301" s="5">
        <f t="shared" si="125"/>
        <v>23</v>
      </c>
      <c r="AG301" s="5">
        <f t="shared" si="125"/>
        <v>24</v>
      </c>
      <c r="AH301" s="5">
        <f t="shared" si="125"/>
        <v>25</v>
      </c>
      <c r="AI301" s="5">
        <f t="shared" si="125"/>
        <v>26</v>
      </c>
      <c r="AJ301" s="5">
        <f t="shared" si="125"/>
        <v>27</v>
      </c>
      <c r="AK301" s="5">
        <f t="shared" si="125"/>
        <v>28</v>
      </c>
      <c r="AL301" s="5">
        <f t="shared" si="125"/>
        <v>29</v>
      </c>
      <c r="AM301" s="5">
        <f t="shared" si="125"/>
        <v>30</v>
      </c>
      <c r="AN301" s="5">
        <f t="shared" si="125"/>
        <v>31</v>
      </c>
      <c r="AO301" s="5">
        <f t="shared" si="125"/>
        <v>32</v>
      </c>
      <c r="AP301" s="5">
        <f t="shared" si="125"/>
        <v>33</v>
      </c>
      <c r="AQ301" s="5">
        <f t="shared" si="125"/>
        <v>34</v>
      </c>
      <c r="AR301" s="5">
        <f t="shared" si="125"/>
        <v>35</v>
      </c>
      <c r="AS301" s="5">
        <f t="shared" si="125"/>
        <v>36</v>
      </c>
      <c r="AT301" s="5">
        <f t="shared" si="125"/>
        <v>37</v>
      </c>
      <c r="AU301" s="5">
        <f t="shared" si="125"/>
        <v>38</v>
      </c>
      <c r="AV301" s="5">
        <f t="shared" si="125"/>
        <v>39</v>
      </c>
      <c r="AW301" s="5">
        <f t="shared" si="125"/>
        <v>40</v>
      </c>
      <c r="AX301" s="5">
        <f t="shared" si="125"/>
        <v>41</v>
      </c>
      <c r="AY301" s="5">
        <f t="shared" si="125"/>
        <v>42</v>
      </c>
      <c r="AZ301" s="5">
        <f t="shared" si="125"/>
        <v>43</v>
      </c>
      <c r="BA301" s="5">
        <f t="shared" si="125"/>
        <v>44</v>
      </c>
      <c r="BB301" s="5">
        <f t="shared" si="125"/>
        <v>45</v>
      </c>
      <c r="BC301" s="5">
        <f t="shared" si="125"/>
        <v>46</v>
      </c>
      <c r="BD301" s="5">
        <f t="shared" si="125"/>
        <v>47</v>
      </c>
      <c r="BE301" s="5">
        <f t="shared" si="125"/>
        <v>48</v>
      </c>
      <c r="BF301" s="5">
        <f t="shared" si="125"/>
        <v>49</v>
      </c>
      <c r="BG301" s="5">
        <f t="shared" si="125"/>
        <v>50</v>
      </c>
      <c r="BH301" s="5">
        <f t="shared" si="125"/>
        <v>51</v>
      </c>
      <c r="BI301" s="5">
        <f t="shared" si="125"/>
        <v>52</v>
      </c>
      <c r="BJ301" s="5">
        <f t="shared" si="125"/>
        <v>53</v>
      </c>
      <c r="BK301" s="5">
        <f t="shared" si="125"/>
        <v>54</v>
      </c>
      <c r="BL301" s="5">
        <f t="shared" si="125"/>
        <v>55</v>
      </c>
      <c r="BM301" s="5">
        <f t="shared" si="125"/>
        <v>56</v>
      </c>
      <c r="BN301" s="5">
        <f t="shared" si="125"/>
        <v>57</v>
      </c>
      <c r="BO301" s="5">
        <f t="shared" si="125"/>
        <v>58</v>
      </c>
      <c r="BP301" s="5">
        <f t="shared" si="125"/>
        <v>59</v>
      </c>
      <c r="BQ301" s="5">
        <f t="shared" si="125"/>
        <v>60</v>
      </c>
    </row>
    <row r="302" spans="1:69" outlineLevel="2">
      <c r="E302" s="47" t="s">
        <v>343</v>
      </c>
      <c r="G302" s="47" t="s">
        <v>91</v>
      </c>
      <c r="I302" s="5">
        <f t="shared" ref="I302:BQ302" si="126" xml:space="preserve">  IF( MOD( I301, 12 ) = 0, ( I301 / 12 ), 0 )</f>
        <v>0</v>
      </c>
      <c r="J302" s="5">
        <f t="shared" si="126"/>
        <v>0</v>
      </c>
      <c r="K302" s="5">
        <f t="shared" si="126"/>
        <v>0</v>
      </c>
      <c r="L302" s="5">
        <f t="shared" si="126"/>
        <v>0</v>
      </c>
      <c r="M302" s="5">
        <f t="shared" si="126"/>
        <v>0</v>
      </c>
      <c r="N302" s="5">
        <f t="shared" si="126"/>
        <v>0</v>
      </c>
      <c r="O302" s="5">
        <f t="shared" si="126"/>
        <v>0</v>
      </c>
      <c r="P302" s="5">
        <f t="shared" si="126"/>
        <v>0</v>
      </c>
      <c r="Q302" s="5">
        <f t="shared" si="126"/>
        <v>0</v>
      </c>
      <c r="R302" s="5">
        <f t="shared" si="126"/>
        <v>0</v>
      </c>
      <c r="S302" s="5">
        <f t="shared" si="126"/>
        <v>0</v>
      </c>
      <c r="T302" s="5">
        <f t="shared" si="126"/>
        <v>0</v>
      </c>
      <c r="U302" s="5">
        <f t="shared" si="126"/>
        <v>1</v>
      </c>
      <c r="V302" s="5">
        <f t="shared" si="126"/>
        <v>0</v>
      </c>
      <c r="W302" s="5">
        <f t="shared" si="126"/>
        <v>0</v>
      </c>
      <c r="X302" s="5">
        <f t="shared" si="126"/>
        <v>0</v>
      </c>
      <c r="Y302" s="5">
        <f t="shared" si="126"/>
        <v>0</v>
      </c>
      <c r="Z302" s="5">
        <f t="shared" si="126"/>
        <v>0</v>
      </c>
      <c r="AA302" s="5">
        <f t="shared" si="126"/>
        <v>0</v>
      </c>
      <c r="AB302" s="5">
        <f t="shared" si="126"/>
        <v>0</v>
      </c>
      <c r="AC302" s="5">
        <f t="shared" si="126"/>
        <v>0</v>
      </c>
      <c r="AD302" s="5">
        <f t="shared" si="126"/>
        <v>0</v>
      </c>
      <c r="AE302" s="5">
        <f t="shared" si="126"/>
        <v>0</v>
      </c>
      <c r="AF302" s="5">
        <f t="shared" si="126"/>
        <v>0</v>
      </c>
      <c r="AG302" s="5">
        <f t="shared" si="126"/>
        <v>2</v>
      </c>
      <c r="AH302" s="5">
        <f t="shared" si="126"/>
        <v>0</v>
      </c>
      <c r="AI302" s="5">
        <f t="shared" si="126"/>
        <v>0</v>
      </c>
      <c r="AJ302" s="5">
        <f t="shared" si="126"/>
        <v>0</v>
      </c>
      <c r="AK302" s="5">
        <f t="shared" si="126"/>
        <v>0</v>
      </c>
      <c r="AL302" s="5">
        <f t="shared" si="126"/>
        <v>0</v>
      </c>
      <c r="AM302" s="5">
        <f t="shared" si="126"/>
        <v>0</v>
      </c>
      <c r="AN302" s="5">
        <f t="shared" si="126"/>
        <v>0</v>
      </c>
      <c r="AO302" s="5">
        <f t="shared" si="126"/>
        <v>0</v>
      </c>
      <c r="AP302" s="5">
        <f t="shared" si="126"/>
        <v>0</v>
      </c>
      <c r="AQ302" s="5">
        <f t="shared" si="126"/>
        <v>0</v>
      </c>
      <c r="AR302" s="5">
        <f t="shared" si="126"/>
        <v>0</v>
      </c>
      <c r="AS302" s="5">
        <f t="shared" si="126"/>
        <v>3</v>
      </c>
      <c r="AT302" s="5">
        <f t="shared" si="126"/>
        <v>0</v>
      </c>
      <c r="AU302" s="5">
        <f t="shared" si="126"/>
        <v>0</v>
      </c>
      <c r="AV302" s="5">
        <f t="shared" si="126"/>
        <v>0</v>
      </c>
      <c r="AW302" s="5">
        <f t="shared" si="126"/>
        <v>0</v>
      </c>
      <c r="AX302" s="5">
        <f t="shared" si="126"/>
        <v>0</v>
      </c>
      <c r="AY302" s="5">
        <f t="shared" si="126"/>
        <v>0</v>
      </c>
      <c r="AZ302" s="5">
        <f t="shared" si="126"/>
        <v>0</v>
      </c>
      <c r="BA302" s="5">
        <f t="shared" si="126"/>
        <v>0</v>
      </c>
      <c r="BB302" s="5">
        <f t="shared" si="126"/>
        <v>0</v>
      </c>
      <c r="BC302" s="5">
        <f t="shared" si="126"/>
        <v>0</v>
      </c>
      <c r="BD302" s="5">
        <f t="shared" si="126"/>
        <v>0</v>
      </c>
      <c r="BE302" s="5">
        <f t="shared" si="126"/>
        <v>4</v>
      </c>
      <c r="BF302" s="5">
        <f t="shared" si="126"/>
        <v>0</v>
      </c>
      <c r="BG302" s="5">
        <f t="shared" si="126"/>
        <v>0</v>
      </c>
      <c r="BH302" s="5">
        <f t="shared" si="126"/>
        <v>0</v>
      </c>
      <c r="BI302" s="5">
        <f t="shared" si="126"/>
        <v>0</v>
      </c>
      <c r="BJ302" s="5">
        <f t="shared" si="126"/>
        <v>0</v>
      </c>
      <c r="BK302" s="5">
        <f t="shared" si="126"/>
        <v>0</v>
      </c>
      <c r="BL302" s="5">
        <f t="shared" si="126"/>
        <v>0</v>
      </c>
      <c r="BM302" s="5">
        <f t="shared" si="126"/>
        <v>0</v>
      </c>
      <c r="BN302" s="5">
        <f t="shared" si="126"/>
        <v>0</v>
      </c>
      <c r="BO302" s="5">
        <f t="shared" si="126"/>
        <v>0</v>
      </c>
      <c r="BP302" s="5">
        <f t="shared" si="126"/>
        <v>0</v>
      </c>
      <c r="BQ302" s="5">
        <f t="shared" si="126"/>
        <v>5</v>
      </c>
    </row>
    <row r="303" spans="1:69" outlineLevel="1"/>
    <row r="304" spans="1:69" outlineLevel="1"/>
    <row r="305" spans="1:69" outlineLevel="1">
      <c r="B305" s="25" t="s">
        <v>11</v>
      </c>
    </row>
    <row r="306" spans="1:69" outlineLevel="2">
      <c r="A306" s="18"/>
      <c r="B306" s="18"/>
      <c r="C306" s="28"/>
      <c r="D306" s="27"/>
      <c r="E306" s="20" t="str">
        <f xml:space="preserve">  InpC!E$101</f>
        <v>Start date</v>
      </c>
      <c r="F306" s="20">
        <f xml:space="preserve">  InpC!F$101</f>
        <v>45047</v>
      </c>
      <c r="G306" s="20" t="str">
        <f xml:space="preserve">  InpC!G$101</f>
        <v>date</v>
      </c>
      <c r="M306" s="8"/>
    </row>
    <row r="307" spans="1:69" outlineLevel="2">
      <c r="E307" s="47" t="s">
        <v>11</v>
      </c>
      <c r="F307" s="2">
        <f xml:space="preserve">  $F306 - 1</f>
        <v>45046</v>
      </c>
      <c r="G307" s="47" t="s">
        <v>213</v>
      </c>
      <c r="M307" s="2"/>
    </row>
    <row r="308" spans="1:69" outlineLevel="1"/>
    <row r="309" spans="1:69" outlineLevel="1"/>
    <row r="310" spans="1:69" outlineLevel="1">
      <c r="B310" s="25" t="s">
        <v>284</v>
      </c>
    </row>
    <row r="311" spans="1:69" outlineLevel="2">
      <c r="A311" s="18"/>
      <c r="B311" s="18"/>
      <c r="C311" s="28"/>
      <c r="D311" s="27"/>
      <c r="E311" s="4" t="str">
        <f xml:space="preserve">  InpC!E$100</f>
        <v>Financial year end month</v>
      </c>
      <c r="F311" s="4">
        <f xml:space="preserve">  InpC!F$100</f>
        <v>4</v>
      </c>
      <c r="G311" s="4" t="str">
        <f xml:space="preserve">  InpC!G$100</f>
        <v>Months</v>
      </c>
      <c r="M311" s="2"/>
    </row>
    <row r="312" spans="1:69" outlineLevel="2">
      <c r="E312" s="5" t="str">
        <f t="shared" ref="E312:BQ312" si="127" xml:space="preserve">  E$28</f>
        <v>Period number</v>
      </c>
      <c r="F312" s="5">
        <f t="shared" si="127"/>
        <v>0</v>
      </c>
      <c r="G312" s="5" t="str">
        <f t="shared" si="127"/>
        <v>Counter</v>
      </c>
      <c r="H312" s="5">
        <f t="shared" si="127"/>
        <v>0</v>
      </c>
      <c r="I312" s="5">
        <f t="shared" si="127"/>
        <v>0</v>
      </c>
      <c r="J312" s="5">
        <f t="shared" si="127"/>
        <v>1</v>
      </c>
      <c r="K312" s="5">
        <f t="shared" si="127"/>
        <v>2</v>
      </c>
      <c r="L312" s="5">
        <f t="shared" si="127"/>
        <v>3</v>
      </c>
      <c r="M312" s="5">
        <f t="shared" si="127"/>
        <v>4</v>
      </c>
      <c r="N312" s="5">
        <f t="shared" si="127"/>
        <v>5</v>
      </c>
      <c r="O312" s="5">
        <f t="shared" si="127"/>
        <v>6</v>
      </c>
      <c r="P312" s="5">
        <f t="shared" si="127"/>
        <v>7</v>
      </c>
      <c r="Q312" s="5">
        <f t="shared" si="127"/>
        <v>8</v>
      </c>
      <c r="R312" s="5">
        <f t="shared" si="127"/>
        <v>9</v>
      </c>
      <c r="S312" s="5">
        <f t="shared" si="127"/>
        <v>10</v>
      </c>
      <c r="T312" s="5">
        <f t="shared" si="127"/>
        <v>11</v>
      </c>
      <c r="U312" s="5">
        <f t="shared" si="127"/>
        <v>12</v>
      </c>
      <c r="V312" s="5">
        <f t="shared" si="127"/>
        <v>13</v>
      </c>
      <c r="W312" s="5">
        <f t="shared" si="127"/>
        <v>14</v>
      </c>
      <c r="X312" s="5">
        <f t="shared" si="127"/>
        <v>15</v>
      </c>
      <c r="Y312" s="5">
        <f t="shared" si="127"/>
        <v>16</v>
      </c>
      <c r="Z312" s="5">
        <f t="shared" si="127"/>
        <v>17</v>
      </c>
      <c r="AA312" s="5">
        <f t="shared" si="127"/>
        <v>18</v>
      </c>
      <c r="AB312" s="5">
        <f t="shared" si="127"/>
        <v>19</v>
      </c>
      <c r="AC312" s="5">
        <f t="shared" si="127"/>
        <v>20</v>
      </c>
      <c r="AD312" s="5">
        <f t="shared" si="127"/>
        <v>21</v>
      </c>
      <c r="AE312" s="5">
        <f t="shared" si="127"/>
        <v>22</v>
      </c>
      <c r="AF312" s="5">
        <f t="shared" si="127"/>
        <v>23</v>
      </c>
      <c r="AG312" s="5">
        <f t="shared" si="127"/>
        <v>24</v>
      </c>
      <c r="AH312" s="5">
        <f t="shared" si="127"/>
        <v>25</v>
      </c>
      <c r="AI312" s="5">
        <f t="shared" si="127"/>
        <v>26</v>
      </c>
      <c r="AJ312" s="5">
        <f t="shared" si="127"/>
        <v>27</v>
      </c>
      <c r="AK312" s="5">
        <f t="shared" si="127"/>
        <v>28</v>
      </c>
      <c r="AL312" s="5">
        <f t="shared" si="127"/>
        <v>29</v>
      </c>
      <c r="AM312" s="5">
        <f t="shared" si="127"/>
        <v>30</v>
      </c>
      <c r="AN312" s="5">
        <f t="shared" si="127"/>
        <v>31</v>
      </c>
      <c r="AO312" s="5">
        <f t="shared" si="127"/>
        <v>32</v>
      </c>
      <c r="AP312" s="5">
        <f t="shared" si="127"/>
        <v>33</v>
      </c>
      <c r="AQ312" s="5">
        <f t="shared" si="127"/>
        <v>34</v>
      </c>
      <c r="AR312" s="5">
        <f t="shared" si="127"/>
        <v>35</v>
      </c>
      <c r="AS312" s="5">
        <f t="shared" si="127"/>
        <v>36</v>
      </c>
      <c r="AT312" s="5">
        <f t="shared" si="127"/>
        <v>37</v>
      </c>
      <c r="AU312" s="5">
        <f t="shared" si="127"/>
        <v>38</v>
      </c>
      <c r="AV312" s="5">
        <f t="shared" si="127"/>
        <v>39</v>
      </c>
      <c r="AW312" s="5">
        <f t="shared" si="127"/>
        <v>40</v>
      </c>
      <c r="AX312" s="5">
        <f t="shared" si="127"/>
        <v>41</v>
      </c>
      <c r="AY312" s="5">
        <f t="shared" si="127"/>
        <v>42</v>
      </c>
      <c r="AZ312" s="5">
        <f t="shared" si="127"/>
        <v>43</v>
      </c>
      <c r="BA312" s="5">
        <f t="shared" si="127"/>
        <v>44</v>
      </c>
      <c r="BB312" s="5">
        <f t="shared" si="127"/>
        <v>45</v>
      </c>
      <c r="BC312" s="5">
        <f t="shared" si="127"/>
        <v>46</v>
      </c>
      <c r="BD312" s="5">
        <f t="shared" si="127"/>
        <v>47</v>
      </c>
      <c r="BE312" s="5">
        <f t="shared" si="127"/>
        <v>48</v>
      </c>
      <c r="BF312" s="5">
        <f t="shared" si="127"/>
        <v>49</v>
      </c>
      <c r="BG312" s="5">
        <f t="shared" si="127"/>
        <v>50</v>
      </c>
      <c r="BH312" s="5">
        <f t="shared" si="127"/>
        <v>51</v>
      </c>
      <c r="BI312" s="5">
        <f t="shared" si="127"/>
        <v>52</v>
      </c>
      <c r="BJ312" s="5">
        <f t="shared" si="127"/>
        <v>53</v>
      </c>
      <c r="BK312" s="5">
        <f t="shared" si="127"/>
        <v>54</v>
      </c>
      <c r="BL312" s="5">
        <f t="shared" si="127"/>
        <v>55</v>
      </c>
      <c r="BM312" s="5">
        <f t="shared" si="127"/>
        <v>56</v>
      </c>
      <c r="BN312" s="5">
        <f t="shared" si="127"/>
        <v>57</v>
      </c>
      <c r="BO312" s="5">
        <f t="shared" si="127"/>
        <v>58</v>
      </c>
      <c r="BP312" s="5">
        <f t="shared" si="127"/>
        <v>59</v>
      </c>
      <c r="BQ312" s="5">
        <f t="shared" si="127"/>
        <v>60</v>
      </c>
    </row>
    <row r="313" spans="1:69" outlineLevel="2">
      <c r="E313" s="8" t="str">
        <f t="shared" ref="E313:BQ313" si="128" xml:space="preserve">  E$19</f>
        <v>Model period end</v>
      </c>
      <c r="F313" s="8">
        <f t="shared" si="128"/>
        <v>0</v>
      </c>
      <c r="G313" s="8" t="str">
        <f t="shared" si="128"/>
        <v>date</v>
      </c>
      <c r="H313" s="8">
        <f t="shared" si="128"/>
        <v>0</v>
      </c>
      <c r="I313" s="8">
        <f t="shared" si="128"/>
        <v>0</v>
      </c>
      <c r="J313" s="8">
        <f t="shared" si="128"/>
        <v>45077</v>
      </c>
      <c r="K313" s="8">
        <f t="shared" si="128"/>
        <v>45107</v>
      </c>
      <c r="L313" s="8">
        <f t="shared" si="128"/>
        <v>45138</v>
      </c>
      <c r="M313" s="8">
        <f t="shared" si="128"/>
        <v>45169</v>
      </c>
      <c r="N313" s="8">
        <f t="shared" si="128"/>
        <v>45199</v>
      </c>
      <c r="O313" s="8">
        <f t="shared" si="128"/>
        <v>45230</v>
      </c>
      <c r="P313" s="8">
        <f t="shared" si="128"/>
        <v>45260</v>
      </c>
      <c r="Q313" s="8">
        <f t="shared" si="128"/>
        <v>45291</v>
      </c>
      <c r="R313" s="8">
        <f t="shared" si="128"/>
        <v>45322</v>
      </c>
      <c r="S313" s="8">
        <f t="shared" si="128"/>
        <v>45351</v>
      </c>
      <c r="T313" s="8">
        <f t="shared" si="128"/>
        <v>45382</v>
      </c>
      <c r="U313" s="8">
        <f t="shared" si="128"/>
        <v>45412</v>
      </c>
      <c r="V313" s="8">
        <f t="shared" si="128"/>
        <v>45443</v>
      </c>
      <c r="W313" s="8">
        <f t="shared" si="128"/>
        <v>45473</v>
      </c>
      <c r="X313" s="8">
        <f t="shared" si="128"/>
        <v>45504</v>
      </c>
      <c r="Y313" s="8">
        <f t="shared" si="128"/>
        <v>45535</v>
      </c>
      <c r="Z313" s="8">
        <f t="shared" si="128"/>
        <v>45565</v>
      </c>
      <c r="AA313" s="8">
        <f t="shared" si="128"/>
        <v>45596</v>
      </c>
      <c r="AB313" s="8">
        <f t="shared" si="128"/>
        <v>45626</v>
      </c>
      <c r="AC313" s="8">
        <f t="shared" si="128"/>
        <v>45657</v>
      </c>
      <c r="AD313" s="8">
        <f t="shared" si="128"/>
        <v>45688</v>
      </c>
      <c r="AE313" s="8">
        <f t="shared" si="128"/>
        <v>45716</v>
      </c>
      <c r="AF313" s="8">
        <f t="shared" si="128"/>
        <v>45747</v>
      </c>
      <c r="AG313" s="8">
        <f t="shared" si="128"/>
        <v>45777</v>
      </c>
      <c r="AH313" s="8">
        <f t="shared" si="128"/>
        <v>45808</v>
      </c>
      <c r="AI313" s="8">
        <f t="shared" si="128"/>
        <v>45838</v>
      </c>
      <c r="AJ313" s="8">
        <f t="shared" si="128"/>
        <v>45869</v>
      </c>
      <c r="AK313" s="8">
        <f t="shared" si="128"/>
        <v>45900</v>
      </c>
      <c r="AL313" s="8">
        <f t="shared" si="128"/>
        <v>45930</v>
      </c>
      <c r="AM313" s="8">
        <f t="shared" si="128"/>
        <v>45961</v>
      </c>
      <c r="AN313" s="8">
        <f t="shared" si="128"/>
        <v>45991</v>
      </c>
      <c r="AO313" s="8">
        <f t="shared" si="128"/>
        <v>46022</v>
      </c>
      <c r="AP313" s="8">
        <f t="shared" si="128"/>
        <v>46053</v>
      </c>
      <c r="AQ313" s="8">
        <f t="shared" si="128"/>
        <v>46081</v>
      </c>
      <c r="AR313" s="8">
        <f t="shared" si="128"/>
        <v>46112</v>
      </c>
      <c r="AS313" s="8">
        <f t="shared" si="128"/>
        <v>46142</v>
      </c>
      <c r="AT313" s="8">
        <f t="shared" si="128"/>
        <v>46173</v>
      </c>
      <c r="AU313" s="8">
        <f t="shared" si="128"/>
        <v>46203</v>
      </c>
      <c r="AV313" s="8">
        <f t="shared" si="128"/>
        <v>46234</v>
      </c>
      <c r="AW313" s="8">
        <f t="shared" si="128"/>
        <v>46265</v>
      </c>
      <c r="AX313" s="8">
        <f t="shared" si="128"/>
        <v>46295</v>
      </c>
      <c r="AY313" s="8">
        <f t="shared" si="128"/>
        <v>46326</v>
      </c>
      <c r="AZ313" s="8">
        <f t="shared" si="128"/>
        <v>46356</v>
      </c>
      <c r="BA313" s="8">
        <f t="shared" si="128"/>
        <v>46387</v>
      </c>
      <c r="BB313" s="8">
        <f t="shared" si="128"/>
        <v>46418</v>
      </c>
      <c r="BC313" s="8">
        <f t="shared" si="128"/>
        <v>46446</v>
      </c>
      <c r="BD313" s="8">
        <f t="shared" si="128"/>
        <v>46477</v>
      </c>
      <c r="BE313" s="8">
        <f t="shared" si="128"/>
        <v>46507</v>
      </c>
      <c r="BF313" s="8">
        <f t="shared" si="128"/>
        <v>46538</v>
      </c>
      <c r="BG313" s="8">
        <f t="shared" si="128"/>
        <v>46568</v>
      </c>
      <c r="BH313" s="8">
        <f t="shared" si="128"/>
        <v>46599</v>
      </c>
      <c r="BI313" s="8">
        <f t="shared" si="128"/>
        <v>46630</v>
      </c>
      <c r="BJ313" s="8">
        <f t="shared" si="128"/>
        <v>46660</v>
      </c>
      <c r="BK313" s="8">
        <f t="shared" si="128"/>
        <v>46691</v>
      </c>
      <c r="BL313" s="8">
        <f t="shared" si="128"/>
        <v>46721</v>
      </c>
      <c r="BM313" s="8">
        <f t="shared" si="128"/>
        <v>46752</v>
      </c>
      <c r="BN313" s="8">
        <f t="shared" si="128"/>
        <v>46783</v>
      </c>
      <c r="BO313" s="8">
        <f t="shared" si="128"/>
        <v>46812</v>
      </c>
      <c r="BP313" s="8">
        <f t="shared" si="128"/>
        <v>46843</v>
      </c>
      <c r="BQ313" s="8">
        <f t="shared" si="128"/>
        <v>46873</v>
      </c>
    </row>
    <row r="314" spans="1:69" outlineLevel="2">
      <c r="E314" s="47" t="s">
        <v>284</v>
      </c>
      <c r="G314" s="47" t="s">
        <v>91</v>
      </c>
      <c r="J314" s="5">
        <f t="shared" ref="J314:BQ314" si="129" xml:space="preserve">  IF( J312 = 1, 1, I314 + IF( MONTH( I313 ) = $F311, 1, 0 ) )</f>
        <v>1</v>
      </c>
      <c r="K314" s="5">
        <f t="shared" si="129"/>
        <v>1</v>
      </c>
      <c r="L314" s="5">
        <f t="shared" si="129"/>
        <v>1</v>
      </c>
      <c r="M314" s="5">
        <f t="shared" si="129"/>
        <v>1</v>
      </c>
      <c r="N314" s="5">
        <f t="shared" si="129"/>
        <v>1</v>
      </c>
      <c r="O314" s="5">
        <f t="shared" si="129"/>
        <v>1</v>
      </c>
      <c r="P314" s="5">
        <f t="shared" si="129"/>
        <v>1</v>
      </c>
      <c r="Q314" s="5">
        <f t="shared" si="129"/>
        <v>1</v>
      </c>
      <c r="R314" s="5">
        <f t="shared" si="129"/>
        <v>1</v>
      </c>
      <c r="S314" s="5">
        <f t="shared" si="129"/>
        <v>1</v>
      </c>
      <c r="T314" s="5">
        <f t="shared" si="129"/>
        <v>1</v>
      </c>
      <c r="U314" s="5">
        <f t="shared" si="129"/>
        <v>1</v>
      </c>
      <c r="V314" s="5">
        <f t="shared" si="129"/>
        <v>2</v>
      </c>
      <c r="W314" s="5">
        <f t="shared" si="129"/>
        <v>2</v>
      </c>
      <c r="X314" s="5">
        <f t="shared" si="129"/>
        <v>2</v>
      </c>
      <c r="Y314" s="5">
        <f t="shared" si="129"/>
        <v>2</v>
      </c>
      <c r="Z314" s="5">
        <f t="shared" si="129"/>
        <v>2</v>
      </c>
      <c r="AA314" s="5">
        <f t="shared" si="129"/>
        <v>2</v>
      </c>
      <c r="AB314" s="5">
        <f t="shared" si="129"/>
        <v>2</v>
      </c>
      <c r="AC314" s="5">
        <f t="shared" si="129"/>
        <v>2</v>
      </c>
      <c r="AD314" s="5">
        <f t="shared" si="129"/>
        <v>2</v>
      </c>
      <c r="AE314" s="5">
        <f t="shared" si="129"/>
        <v>2</v>
      </c>
      <c r="AF314" s="5">
        <f t="shared" si="129"/>
        <v>2</v>
      </c>
      <c r="AG314" s="5">
        <f t="shared" si="129"/>
        <v>2</v>
      </c>
      <c r="AH314" s="5">
        <f t="shared" si="129"/>
        <v>3</v>
      </c>
      <c r="AI314" s="5">
        <f t="shared" si="129"/>
        <v>3</v>
      </c>
      <c r="AJ314" s="5">
        <f t="shared" si="129"/>
        <v>3</v>
      </c>
      <c r="AK314" s="5">
        <f t="shared" si="129"/>
        <v>3</v>
      </c>
      <c r="AL314" s="5">
        <f t="shared" si="129"/>
        <v>3</v>
      </c>
      <c r="AM314" s="5">
        <f t="shared" si="129"/>
        <v>3</v>
      </c>
      <c r="AN314" s="5">
        <f t="shared" si="129"/>
        <v>3</v>
      </c>
      <c r="AO314" s="5">
        <f t="shared" si="129"/>
        <v>3</v>
      </c>
      <c r="AP314" s="5">
        <f t="shared" si="129"/>
        <v>3</v>
      </c>
      <c r="AQ314" s="5">
        <f t="shared" si="129"/>
        <v>3</v>
      </c>
      <c r="AR314" s="5">
        <f t="shared" si="129"/>
        <v>3</v>
      </c>
      <c r="AS314" s="5">
        <f t="shared" si="129"/>
        <v>3</v>
      </c>
      <c r="AT314" s="5">
        <f t="shared" si="129"/>
        <v>4</v>
      </c>
      <c r="AU314" s="5">
        <f t="shared" si="129"/>
        <v>4</v>
      </c>
      <c r="AV314" s="5">
        <f t="shared" si="129"/>
        <v>4</v>
      </c>
      <c r="AW314" s="5">
        <f t="shared" si="129"/>
        <v>4</v>
      </c>
      <c r="AX314" s="5">
        <f t="shared" si="129"/>
        <v>4</v>
      </c>
      <c r="AY314" s="5">
        <f t="shared" si="129"/>
        <v>4</v>
      </c>
      <c r="AZ314" s="5">
        <f t="shared" si="129"/>
        <v>4</v>
      </c>
      <c r="BA314" s="5">
        <f t="shared" si="129"/>
        <v>4</v>
      </c>
      <c r="BB314" s="5">
        <f t="shared" si="129"/>
        <v>4</v>
      </c>
      <c r="BC314" s="5">
        <f t="shared" si="129"/>
        <v>4</v>
      </c>
      <c r="BD314" s="5">
        <f t="shared" si="129"/>
        <v>4</v>
      </c>
      <c r="BE314" s="5">
        <f t="shared" si="129"/>
        <v>4</v>
      </c>
      <c r="BF314" s="5">
        <f t="shared" si="129"/>
        <v>5</v>
      </c>
      <c r="BG314" s="5">
        <f t="shared" si="129"/>
        <v>5</v>
      </c>
      <c r="BH314" s="5">
        <f t="shared" si="129"/>
        <v>5</v>
      </c>
      <c r="BI314" s="5">
        <f t="shared" si="129"/>
        <v>5</v>
      </c>
      <c r="BJ314" s="5">
        <f t="shared" si="129"/>
        <v>5</v>
      </c>
      <c r="BK314" s="5">
        <f t="shared" si="129"/>
        <v>5</v>
      </c>
      <c r="BL314" s="5">
        <f t="shared" si="129"/>
        <v>5</v>
      </c>
      <c r="BM314" s="5">
        <f t="shared" si="129"/>
        <v>5</v>
      </c>
      <c r="BN314" s="5">
        <f t="shared" si="129"/>
        <v>5</v>
      </c>
      <c r="BO314" s="5">
        <f t="shared" si="129"/>
        <v>5</v>
      </c>
      <c r="BP314" s="5">
        <f t="shared" si="129"/>
        <v>5</v>
      </c>
      <c r="BQ314" s="5">
        <f t="shared" si="129"/>
        <v>5</v>
      </c>
    </row>
    <row r="315" spans="1:69" outlineLevel="1"/>
    <row r="316" spans="1:69" outlineLevel="1"/>
    <row r="317" spans="1:69" outlineLevel="1">
      <c r="B317" s="25" t="s">
        <v>171</v>
      </c>
    </row>
    <row r="318" spans="1:69" outlineLevel="2">
      <c r="A318" s="18"/>
      <c r="B318" s="18"/>
      <c r="C318" s="28"/>
      <c r="D318" s="27"/>
      <c r="E318" s="4" t="str">
        <f xml:space="preserve">  InpC!E$100</f>
        <v>Financial year end month</v>
      </c>
      <c r="F318" s="4">
        <f xml:space="preserve">  InpC!F$100</f>
        <v>4</v>
      </c>
      <c r="G318" s="4" t="str">
        <f xml:space="preserve">  InpC!G$100</f>
        <v>Months</v>
      </c>
      <c r="M318" s="2"/>
    </row>
    <row r="319" spans="1:69" outlineLevel="2">
      <c r="E319" s="8" t="str">
        <f t="shared" ref="E319:BQ319" si="130" xml:space="preserve">  E$19</f>
        <v>Model period end</v>
      </c>
      <c r="F319" s="8">
        <f t="shared" si="130"/>
        <v>0</v>
      </c>
      <c r="G319" s="8" t="str">
        <f t="shared" si="130"/>
        <v>date</v>
      </c>
      <c r="H319" s="8">
        <f t="shared" si="130"/>
        <v>0</v>
      </c>
      <c r="I319" s="8">
        <f t="shared" si="130"/>
        <v>0</v>
      </c>
      <c r="J319" s="8">
        <f t="shared" si="130"/>
        <v>45077</v>
      </c>
      <c r="K319" s="8">
        <f t="shared" si="130"/>
        <v>45107</v>
      </c>
      <c r="L319" s="8">
        <f t="shared" si="130"/>
        <v>45138</v>
      </c>
      <c r="M319" s="8">
        <f t="shared" si="130"/>
        <v>45169</v>
      </c>
      <c r="N319" s="8">
        <f t="shared" si="130"/>
        <v>45199</v>
      </c>
      <c r="O319" s="8">
        <f t="shared" si="130"/>
        <v>45230</v>
      </c>
      <c r="P319" s="8">
        <f t="shared" si="130"/>
        <v>45260</v>
      </c>
      <c r="Q319" s="8">
        <f t="shared" si="130"/>
        <v>45291</v>
      </c>
      <c r="R319" s="8">
        <f t="shared" si="130"/>
        <v>45322</v>
      </c>
      <c r="S319" s="8">
        <f t="shared" si="130"/>
        <v>45351</v>
      </c>
      <c r="T319" s="8">
        <f t="shared" si="130"/>
        <v>45382</v>
      </c>
      <c r="U319" s="8">
        <f t="shared" si="130"/>
        <v>45412</v>
      </c>
      <c r="V319" s="8">
        <f t="shared" si="130"/>
        <v>45443</v>
      </c>
      <c r="W319" s="8">
        <f t="shared" si="130"/>
        <v>45473</v>
      </c>
      <c r="X319" s="8">
        <f t="shared" si="130"/>
        <v>45504</v>
      </c>
      <c r="Y319" s="8">
        <f t="shared" si="130"/>
        <v>45535</v>
      </c>
      <c r="Z319" s="8">
        <f t="shared" si="130"/>
        <v>45565</v>
      </c>
      <c r="AA319" s="8">
        <f t="shared" si="130"/>
        <v>45596</v>
      </c>
      <c r="AB319" s="8">
        <f t="shared" si="130"/>
        <v>45626</v>
      </c>
      <c r="AC319" s="8">
        <f t="shared" si="130"/>
        <v>45657</v>
      </c>
      <c r="AD319" s="8">
        <f t="shared" si="130"/>
        <v>45688</v>
      </c>
      <c r="AE319" s="8">
        <f t="shared" si="130"/>
        <v>45716</v>
      </c>
      <c r="AF319" s="8">
        <f t="shared" si="130"/>
        <v>45747</v>
      </c>
      <c r="AG319" s="8">
        <f t="shared" si="130"/>
        <v>45777</v>
      </c>
      <c r="AH319" s="8">
        <f t="shared" si="130"/>
        <v>45808</v>
      </c>
      <c r="AI319" s="8">
        <f t="shared" si="130"/>
        <v>45838</v>
      </c>
      <c r="AJ319" s="8">
        <f t="shared" si="130"/>
        <v>45869</v>
      </c>
      <c r="AK319" s="8">
        <f t="shared" si="130"/>
        <v>45900</v>
      </c>
      <c r="AL319" s="8">
        <f t="shared" si="130"/>
        <v>45930</v>
      </c>
      <c r="AM319" s="8">
        <f t="shared" si="130"/>
        <v>45961</v>
      </c>
      <c r="AN319" s="8">
        <f t="shared" si="130"/>
        <v>45991</v>
      </c>
      <c r="AO319" s="8">
        <f t="shared" si="130"/>
        <v>46022</v>
      </c>
      <c r="AP319" s="8">
        <f t="shared" si="130"/>
        <v>46053</v>
      </c>
      <c r="AQ319" s="8">
        <f t="shared" si="130"/>
        <v>46081</v>
      </c>
      <c r="AR319" s="8">
        <f t="shared" si="130"/>
        <v>46112</v>
      </c>
      <c r="AS319" s="8">
        <f t="shared" si="130"/>
        <v>46142</v>
      </c>
      <c r="AT319" s="8">
        <f t="shared" si="130"/>
        <v>46173</v>
      </c>
      <c r="AU319" s="8">
        <f t="shared" si="130"/>
        <v>46203</v>
      </c>
      <c r="AV319" s="8">
        <f t="shared" si="130"/>
        <v>46234</v>
      </c>
      <c r="AW319" s="8">
        <f t="shared" si="130"/>
        <v>46265</v>
      </c>
      <c r="AX319" s="8">
        <f t="shared" si="130"/>
        <v>46295</v>
      </c>
      <c r="AY319" s="8">
        <f t="shared" si="130"/>
        <v>46326</v>
      </c>
      <c r="AZ319" s="8">
        <f t="shared" si="130"/>
        <v>46356</v>
      </c>
      <c r="BA319" s="8">
        <f t="shared" si="130"/>
        <v>46387</v>
      </c>
      <c r="BB319" s="8">
        <f t="shared" si="130"/>
        <v>46418</v>
      </c>
      <c r="BC319" s="8">
        <f t="shared" si="130"/>
        <v>46446</v>
      </c>
      <c r="BD319" s="8">
        <f t="shared" si="130"/>
        <v>46477</v>
      </c>
      <c r="BE319" s="8">
        <f t="shared" si="130"/>
        <v>46507</v>
      </c>
      <c r="BF319" s="8">
        <f t="shared" si="130"/>
        <v>46538</v>
      </c>
      <c r="BG319" s="8">
        <f t="shared" si="130"/>
        <v>46568</v>
      </c>
      <c r="BH319" s="8">
        <f t="shared" si="130"/>
        <v>46599</v>
      </c>
      <c r="BI319" s="8">
        <f t="shared" si="130"/>
        <v>46630</v>
      </c>
      <c r="BJ319" s="8">
        <f t="shared" si="130"/>
        <v>46660</v>
      </c>
      <c r="BK319" s="8">
        <f t="shared" si="130"/>
        <v>46691</v>
      </c>
      <c r="BL319" s="8">
        <f t="shared" si="130"/>
        <v>46721</v>
      </c>
      <c r="BM319" s="8">
        <f t="shared" si="130"/>
        <v>46752</v>
      </c>
      <c r="BN319" s="8">
        <f t="shared" si="130"/>
        <v>46783</v>
      </c>
      <c r="BO319" s="8">
        <f t="shared" si="130"/>
        <v>46812</v>
      </c>
      <c r="BP319" s="8">
        <f t="shared" si="130"/>
        <v>46843</v>
      </c>
      <c r="BQ319" s="8">
        <f t="shared" si="130"/>
        <v>46873</v>
      </c>
    </row>
    <row r="320" spans="1:69" outlineLevel="2">
      <c r="E320" s="5" t="str">
        <f t="shared" ref="E320:BQ320" si="131" xml:space="preserve">  E$28</f>
        <v>Period number</v>
      </c>
      <c r="F320" s="5">
        <f t="shared" si="131"/>
        <v>0</v>
      </c>
      <c r="G320" s="5" t="str">
        <f t="shared" si="131"/>
        <v>Counter</v>
      </c>
      <c r="H320" s="5">
        <f t="shared" si="131"/>
        <v>0</v>
      </c>
      <c r="I320" s="5">
        <f t="shared" si="131"/>
        <v>0</v>
      </c>
      <c r="J320" s="5">
        <f t="shared" si="131"/>
        <v>1</v>
      </c>
      <c r="K320" s="5">
        <f t="shared" si="131"/>
        <v>2</v>
      </c>
      <c r="L320" s="5">
        <f t="shared" si="131"/>
        <v>3</v>
      </c>
      <c r="M320" s="5">
        <f t="shared" si="131"/>
        <v>4</v>
      </c>
      <c r="N320" s="5">
        <f t="shared" si="131"/>
        <v>5</v>
      </c>
      <c r="O320" s="5">
        <f t="shared" si="131"/>
        <v>6</v>
      </c>
      <c r="P320" s="5">
        <f t="shared" si="131"/>
        <v>7</v>
      </c>
      <c r="Q320" s="5">
        <f t="shared" si="131"/>
        <v>8</v>
      </c>
      <c r="R320" s="5">
        <f t="shared" si="131"/>
        <v>9</v>
      </c>
      <c r="S320" s="5">
        <f t="shared" si="131"/>
        <v>10</v>
      </c>
      <c r="T320" s="5">
        <f t="shared" si="131"/>
        <v>11</v>
      </c>
      <c r="U320" s="5">
        <f t="shared" si="131"/>
        <v>12</v>
      </c>
      <c r="V320" s="5">
        <f t="shared" si="131"/>
        <v>13</v>
      </c>
      <c r="W320" s="5">
        <f t="shared" si="131"/>
        <v>14</v>
      </c>
      <c r="X320" s="5">
        <f t="shared" si="131"/>
        <v>15</v>
      </c>
      <c r="Y320" s="5">
        <f t="shared" si="131"/>
        <v>16</v>
      </c>
      <c r="Z320" s="5">
        <f t="shared" si="131"/>
        <v>17</v>
      </c>
      <c r="AA320" s="5">
        <f t="shared" si="131"/>
        <v>18</v>
      </c>
      <c r="AB320" s="5">
        <f t="shared" si="131"/>
        <v>19</v>
      </c>
      <c r="AC320" s="5">
        <f t="shared" si="131"/>
        <v>20</v>
      </c>
      <c r="AD320" s="5">
        <f t="shared" si="131"/>
        <v>21</v>
      </c>
      <c r="AE320" s="5">
        <f t="shared" si="131"/>
        <v>22</v>
      </c>
      <c r="AF320" s="5">
        <f t="shared" si="131"/>
        <v>23</v>
      </c>
      <c r="AG320" s="5">
        <f t="shared" si="131"/>
        <v>24</v>
      </c>
      <c r="AH320" s="5">
        <f t="shared" si="131"/>
        <v>25</v>
      </c>
      <c r="AI320" s="5">
        <f t="shared" si="131"/>
        <v>26</v>
      </c>
      <c r="AJ320" s="5">
        <f t="shared" si="131"/>
        <v>27</v>
      </c>
      <c r="AK320" s="5">
        <f t="shared" si="131"/>
        <v>28</v>
      </c>
      <c r="AL320" s="5">
        <f t="shared" si="131"/>
        <v>29</v>
      </c>
      <c r="AM320" s="5">
        <f t="shared" si="131"/>
        <v>30</v>
      </c>
      <c r="AN320" s="5">
        <f t="shared" si="131"/>
        <v>31</v>
      </c>
      <c r="AO320" s="5">
        <f t="shared" si="131"/>
        <v>32</v>
      </c>
      <c r="AP320" s="5">
        <f t="shared" si="131"/>
        <v>33</v>
      </c>
      <c r="AQ320" s="5">
        <f t="shared" si="131"/>
        <v>34</v>
      </c>
      <c r="AR320" s="5">
        <f t="shared" si="131"/>
        <v>35</v>
      </c>
      <c r="AS320" s="5">
        <f t="shared" si="131"/>
        <v>36</v>
      </c>
      <c r="AT320" s="5">
        <f t="shared" si="131"/>
        <v>37</v>
      </c>
      <c r="AU320" s="5">
        <f t="shared" si="131"/>
        <v>38</v>
      </c>
      <c r="AV320" s="5">
        <f t="shared" si="131"/>
        <v>39</v>
      </c>
      <c r="AW320" s="5">
        <f t="shared" si="131"/>
        <v>40</v>
      </c>
      <c r="AX320" s="5">
        <f t="shared" si="131"/>
        <v>41</v>
      </c>
      <c r="AY320" s="5">
        <f t="shared" si="131"/>
        <v>42</v>
      </c>
      <c r="AZ320" s="5">
        <f t="shared" si="131"/>
        <v>43</v>
      </c>
      <c r="BA320" s="5">
        <f t="shared" si="131"/>
        <v>44</v>
      </c>
      <c r="BB320" s="5">
        <f t="shared" si="131"/>
        <v>45</v>
      </c>
      <c r="BC320" s="5">
        <f t="shared" si="131"/>
        <v>46</v>
      </c>
      <c r="BD320" s="5">
        <f t="shared" si="131"/>
        <v>47</v>
      </c>
      <c r="BE320" s="5">
        <f t="shared" si="131"/>
        <v>48</v>
      </c>
      <c r="BF320" s="5">
        <f t="shared" si="131"/>
        <v>49</v>
      </c>
      <c r="BG320" s="5">
        <f t="shared" si="131"/>
        <v>50</v>
      </c>
      <c r="BH320" s="5">
        <f t="shared" si="131"/>
        <v>51</v>
      </c>
      <c r="BI320" s="5">
        <f t="shared" si="131"/>
        <v>52</v>
      </c>
      <c r="BJ320" s="5">
        <f t="shared" si="131"/>
        <v>53</v>
      </c>
      <c r="BK320" s="5">
        <f t="shared" si="131"/>
        <v>54</v>
      </c>
      <c r="BL320" s="5">
        <f t="shared" si="131"/>
        <v>55</v>
      </c>
      <c r="BM320" s="5">
        <f t="shared" si="131"/>
        <v>56</v>
      </c>
      <c r="BN320" s="5">
        <f t="shared" si="131"/>
        <v>57</v>
      </c>
      <c r="BO320" s="5">
        <f t="shared" si="131"/>
        <v>58</v>
      </c>
      <c r="BP320" s="5">
        <f t="shared" si="131"/>
        <v>59</v>
      </c>
      <c r="BQ320" s="5">
        <f t="shared" si="131"/>
        <v>60</v>
      </c>
    </row>
    <row r="321" spans="1:69" outlineLevel="2">
      <c r="E321" s="47" t="s">
        <v>171</v>
      </c>
      <c r="G321" s="47" t="s">
        <v>91</v>
      </c>
      <c r="I321" s="5">
        <f t="shared" ref="I321:BQ321" si="132" xml:space="preserve">  IF( MONTH( I319 ) = $F318, ROUNDUP( I320 / 12, 0 ), 0 )</f>
        <v>0</v>
      </c>
      <c r="J321" s="5">
        <f t="shared" si="132"/>
        <v>0</v>
      </c>
      <c r="K321" s="5">
        <f t="shared" si="132"/>
        <v>0</v>
      </c>
      <c r="L321" s="5">
        <f t="shared" si="132"/>
        <v>0</v>
      </c>
      <c r="M321" s="5">
        <f t="shared" si="132"/>
        <v>0</v>
      </c>
      <c r="N321" s="5">
        <f t="shared" si="132"/>
        <v>0</v>
      </c>
      <c r="O321" s="5">
        <f t="shared" si="132"/>
        <v>0</v>
      </c>
      <c r="P321" s="5">
        <f t="shared" si="132"/>
        <v>0</v>
      </c>
      <c r="Q321" s="5">
        <f t="shared" si="132"/>
        <v>0</v>
      </c>
      <c r="R321" s="5">
        <f t="shared" si="132"/>
        <v>0</v>
      </c>
      <c r="S321" s="5">
        <f t="shared" si="132"/>
        <v>0</v>
      </c>
      <c r="T321" s="5">
        <f t="shared" si="132"/>
        <v>0</v>
      </c>
      <c r="U321" s="5">
        <f t="shared" si="132"/>
        <v>1</v>
      </c>
      <c r="V321" s="5">
        <f t="shared" si="132"/>
        <v>0</v>
      </c>
      <c r="W321" s="5">
        <f t="shared" si="132"/>
        <v>0</v>
      </c>
      <c r="X321" s="5">
        <f t="shared" si="132"/>
        <v>0</v>
      </c>
      <c r="Y321" s="5">
        <f t="shared" si="132"/>
        <v>0</v>
      </c>
      <c r="Z321" s="5">
        <f t="shared" si="132"/>
        <v>0</v>
      </c>
      <c r="AA321" s="5">
        <f t="shared" si="132"/>
        <v>0</v>
      </c>
      <c r="AB321" s="5">
        <f t="shared" si="132"/>
        <v>0</v>
      </c>
      <c r="AC321" s="5">
        <f t="shared" si="132"/>
        <v>0</v>
      </c>
      <c r="AD321" s="5">
        <f t="shared" si="132"/>
        <v>0</v>
      </c>
      <c r="AE321" s="5">
        <f t="shared" si="132"/>
        <v>0</v>
      </c>
      <c r="AF321" s="5">
        <f t="shared" si="132"/>
        <v>0</v>
      </c>
      <c r="AG321" s="5">
        <f t="shared" si="132"/>
        <v>2</v>
      </c>
      <c r="AH321" s="5">
        <f t="shared" si="132"/>
        <v>0</v>
      </c>
      <c r="AI321" s="5">
        <f t="shared" si="132"/>
        <v>0</v>
      </c>
      <c r="AJ321" s="5">
        <f t="shared" si="132"/>
        <v>0</v>
      </c>
      <c r="AK321" s="5">
        <f t="shared" si="132"/>
        <v>0</v>
      </c>
      <c r="AL321" s="5">
        <f t="shared" si="132"/>
        <v>0</v>
      </c>
      <c r="AM321" s="5">
        <f t="shared" si="132"/>
        <v>0</v>
      </c>
      <c r="AN321" s="5">
        <f t="shared" si="132"/>
        <v>0</v>
      </c>
      <c r="AO321" s="5">
        <f t="shared" si="132"/>
        <v>0</v>
      </c>
      <c r="AP321" s="5">
        <f t="shared" si="132"/>
        <v>0</v>
      </c>
      <c r="AQ321" s="5">
        <f t="shared" si="132"/>
        <v>0</v>
      </c>
      <c r="AR321" s="5">
        <f t="shared" si="132"/>
        <v>0</v>
      </c>
      <c r="AS321" s="5">
        <f t="shared" si="132"/>
        <v>3</v>
      </c>
      <c r="AT321" s="5">
        <f t="shared" si="132"/>
        <v>0</v>
      </c>
      <c r="AU321" s="5">
        <f t="shared" si="132"/>
        <v>0</v>
      </c>
      <c r="AV321" s="5">
        <f t="shared" si="132"/>
        <v>0</v>
      </c>
      <c r="AW321" s="5">
        <f t="shared" si="132"/>
        <v>0</v>
      </c>
      <c r="AX321" s="5">
        <f t="shared" si="132"/>
        <v>0</v>
      </c>
      <c r="AY321" s="5">
        <f t="shared" si="132"/>
        <v>0</v>
      </c>
      <c r="AZ321" s="5">
        <f t="shared" si="132"/>
        <v>0</v>
      </c>
      <c r="BA321" s="5">
        <f t="shared" si="132"/>
        <v>0</v>
      </c>
      <c r="BB321" s="5">
        <f t="shared" si="132"/>
        <v>0</v>
      </c>
      <c r="BC321" s="5">
        <f t="shared" si="132"/>
        <v>0</v>
      </c>
      <c r="BD321" s="5">
        <f t="shared" si="132"/>
        <v>0</v>
      </c>
      <c r="BE321" s="5">
        <f t="shared" si="132"/>
        <v>4</v>
      </c>
      <c r="BF321" s="5">
        <f t="shared" si="132"/>
        <v>0</v>
      </c>
      <c r="BG321" s="5">
        <f t="shared" si="132"/>
        <v>0</v>
      </c>
      <c r="BH321" s="5">
        <f t="shared" si="132"/>
        <v>0</v>
      </c>
      <c r="BI321" s="5">
        <f t="shared" si="132"/>
        <v>0</v>
      </c>
      <c r="BJ321" s="5">
        <f t="shared" si="132"/>
        <v>0</v>
      </c>
      <c r="BK321" s="5">
        <f t="shared" si="132"/>
        <v>0</v>
      </c>
      <c r="BL321" s="5">
        <f t="shared" si="132"/>
        <v>0</v>
      </c>
      <c r="BM321" s="5">
        <f t="shared" si="132"/>
        <v>0</v>
      </c>
      <c r="BN321" s="5">
        <f t="shared" si="132"/>
        <v>0</v>
      </c>
      <c r="BO321" s="5">
        <f t="shared" si="132"/>
        <v>0</v>
      </c>
      <c r="BP321" s="5">
        <f t="shared" si="132"/>
        <v>0</v>
      </c>
      <c r="BQ321" s="5">
        <f t="shared" si="132"/>
        <v>5</v>
      </c>
    </row>
    <row r="322" spans="1:69" outlineLevel="1"/>
    <row r="323" spans="1:69" outlineLevel="1"/>
    <row r="324" spans="1:69" outlineLevel="1">
      <c r="B324" s="25" t="s">
        <v>218</v>
      </c>
    </row>
    <row r="325" spans="1:69" outlineLevel="2">
      <c r="A325" s="18"/>
      <c r="B325" s="18"/>
      <c r="C325" s="28"/>
      <c r="D325" s="27"/>
      <c r="E325" s="20" t="str">
        <f xml:space="preserve">  InpC!E$101</f>
        <v>Start date</v>
      </c>
      <c r="F325" s="20">
        <f xml:space="preserve">  InpC!F$101</f>
        <v>45047</v>
      </c>
      <c r="G325" s="20" t="str">
        <f xml:space="preserve">  InpC!G$101</f>
        <v>date</v>
      </c>
      <c r="M325" s="8"/>
    </row>
    <row r="326" spans="1:69" outlineLevel="2">
      <c r="A326" s="18"/>
      <c r="B326" s="18"/>
      <c r="C326" s="28"/>
      <c r="D326" s="27"/>
      <c r="E326" s="4" t="str">
        <f xml:space="preserve">  InpC!E$100</f>
        <v>Financial year end month</v>
      </c>
      <c r="F326" s="4">
        <f xml:space="preserve">  InpC!F$100</f>
        <v>4</v>
      </c>
      <c r="G326" s="4" t="str">
        <f xml:space="preserve">  InpC!G$100</f>
        <v>Months</v>
      </c>
      <c r="M326" s="2"/>
    </row>
    <row r="327" spans="1:69" outlineLevel="2">
      <c r="E327" s="47" t="s">
        <v>218</v>
      </c>
      <c r="F327" s="2">
        <f xml:space="preserve">  EOMONTH( DATE( YEAR( $F325 ) + IF( MONTH( $F325 ) &gt; MONTH( $F326 ), 0, -1 ), $F326, 1 ), 0 )</f>
        <v>45046</v>
      </c>
      <c r="G327" s="47" t="s">
        <v>213</v>
      </c>
      <c r="M327" s="2"/>
    </row>
    <row r="328" spans="1:69" outlineLevel="1"/>
    <row r="329" spans="1:69" outlineLevel="1"/>
    <row r="330" spans="1:69" outlineLevel="1">
      <c r="B330" s="25" t="s">
        <v>150</v>
      </c>
    </row>
    <row r="331" spans="1:69" outlineLevel="2">
      <c r="E331" s="5" t="str">
        <f t="shared" ref="E331:BQ331" si="133" xml:space="preserve">  E$28</f>
        <v>Period number</v>
      </c>
      <c r="F331" s="5">
        <f t="shared" si="133"/>
        <v>0</v>
      </c>
      <c r="G331" s="5" t="str">
        <f t="shared" si="133"/>
        <v>Counter</v>
      </c>
      <c r="H331" s="5">
        <f t="shared" si="133"/>
        <v>0</v>
      </c>
      <c r="I331" s="5">
        <f t="shared" si="133"/>
        <v>0</v>
      </c>
      <c r="J331" s="5">
        <f t="shared" si="133"/>
        <v>1</v>
      </c>
      <c r="K331" s="5">
        <f t="shared" si="133"/>
        <v>2</v>
      </c>
      <c r="L331" s="5">
        <f t="shared" si="133"/>
        <v>3</v>
      </c>
      <c r="M331" s="5">
        <f t="shared" si="133"/>
        <v>4</v>
      </c>
      <c r="N331" s="5">
        <f t="shared" si="133"/>
        <v>5</v>
      </c>
      <c r="O331" s="5">
        <f t="shared" si="133"/>
        <v>6</v>
      </c>
      <c r="P331" s="5">
        <f t="shared" si="133"/>
        <v>7</v>
      </c>
      <c r="Q331" s="5">
        <f t="shared" si="133"/>
        <v>8</v>
      </c>
      <c r="R331" s="5">
        <f t="shared" si="133"/>
        <v>9</v>
      </c>
      <c r="S331" s="5">
        <f t="shared" si="133"/>
        <v>10</v>
      </c>
      <c r="T331" s="5">
        <f t="shared" si="133"/>
        <v>11</v>
      </c>
      <c r="U331" s="5">
        <f t="shared" si="133"/>
        <v>12</v>
      </c>
      <c r="V331" s="5">
        <f t="shared" si="133"/>
        <v>13</v>
      </c>
      <c r="W331" s="5">
        <f t="shared" si="133"/>
        <v>14</v>
      </c>
      <c r="X331" s="5">
        <f t="shared" si="133"/>
        <v>15</v>
      </c>
      <c r="Y331" s="5">
        <f t="shared" si="133"/>
        <v>16</v>
      </c>
      <c r="Z331" s="5">
        <f t="shared" si="133"/>
        <v>17</v>
      </c>
      <c r="AA331" s="5">
        <f t="shared" si="133"/>
        <v>18</v>
      </c>
      <c r="AB331" s="5">
        <f t="shared" si="133"/>
        <v>19</v>
      </c>
      <c r="AC331" s="5">
        <f t="shared" si="133"/>
        <v>20</v>
      </c>
      <c r="AD331" s="5">
        <f t="shared" si="133"/>
        <v>21</v>
      </c>
      <c r="AE331" s="5">
        <f t="shared" si="133"/>
        <v>22</v>
      </c>
      <c r="AF331" s="5">
        <f t="shared" si="133"/>
        <v>23</v>
      </c>
      <c r="AG331" s="5">
        <f t="shared" si="133"/>
        <v>24</v>
      </c>
      <c r="AH331" s="5">
        <f t="shared" si="133"/>
        <v>25</v>
      </c>
      <c r="AI331" s="5">
        <f t="shared" si="133"/>
        <v>26</v>
      </c>
      <c r="AJ331" s="5">
        <f t="shared" si="133"/>
        <v>27</v>
      </c>
      <c r="AK331" s="5">
        <f t="shared" si="133"/>
        <v>28</v>
      </c>
      <c r="AL331" s="5">
        <f t="shared" si="133"/>
        <v>29</v>
      </c>
      <c r="AM331" s="5">
        <f t="shared" si="133"/>
        <v>30</v>
      </c>
      <c r="AN331" s="5">
        <f t="shared" si="133"/>
        <v>31</v>
      </c>
      <c r="AO331" s="5">
        <f t="shared" si="133"/>
        <v>32</v>
      </c>
      <c r="AP331" s="5">
        <f t="shared" si="133"/>
        <v>33</v>
      </c>
      <c r="AQ331" s="5">
        <f t="shared" si="133"/>
        <v>34</v>
      </c>
      <c r="AR331" s="5">
        <f t="shared" si="133"/>
        <v>35</v>
      </c>
      <c r="AS331" s="5">
        <f t="shared" si="133"/>
        <v>36</v>
      </c>
      <c r="AT331" s="5">
        <f t="shared" si="133"/>
        <v>37</v>
      </c>
      <c r="AU331" s="5">
        <f t="shared" si="133"/>
        <v>38</v>
      </c>
      <c r="AV331" s="5">
        <f t="shared" si="133"/>
        <v>39</v>
      </c>
      <c r="AW331" s="5">
        <f t="shared" si="133"/>
        <v>40</v>
      </c>
      <c r="AX331" s="5">
        <f t="shared" si="133"/>
        <v>41</v>
      </c>
      <c r="AY331" s="5">
        <f t="shared" si="133"/>
        <v>42</v>
      </c>
      <c r="AZ331" s="5">
        <f t="shared" si="133"/>
        <v>43</v>
      </c>
      <c r="BA331" s="5">
        <f t="shared" si="133"/>
        <v>44</v>
      </c>
      <c r="BB331" s="5">
        <f t="shared" si="133"/>
        <v>45</v>
      </c>
      <c r="BC331" s="5">
        <f t="shared" si="133"/>
        <v>46</v>
      </c>
      <c r="BD331" s="5">
        <f t="shared" si="133"/>
        <v>47</v>
      </c>
      <c r="BE331" s="5">
        <f t="shared" si="133"/>
        <v>48</v>
      </c>
      <c r="BF331" s="5">
        <f t="shared" si="133"/>
        <v>49</v>
      </c>
      <c r="BG331" s="5">
        <f t="shared" si="133"/>
        <v>50</v>
      </c>
      <c r="BH331" s="5">
        <f t="shared" si="133"/>
        <v>51</v>
      </c>
      <c r="BI331" s="5">
        <f t="shared" si="133"/>
        <v>52</v>
      </c>
      <c r="BJ331" s="5">
        <f t="shared" si="133"/>
        <v>53</v>
      </c>
      <c r="BK331" s="5">
        <f t="shared" si="133"/>
        <v>54</v>
      </c>
      <c r="BL331" s="5">
        <f t="shared" si="133"/>
        <v>55</v>
      </c>
      <c r="BM331" s="5">
        <f t="shared" si="133"/>
        <v>56</v>
      </c>
      <c r="BN331" s="5">
        <f t="shared" si="133"/>
        <v>57</v>
      </c>
      <c r="BO331" s="5">
        <f t="shared" si="133"/>
        <v>58</v>
      </c>
      <c r="BP331" s="5">
        <f t="shared" si="133"/>
        <v>59</v>
      </c>
      <c r="BQ331" s="5">
        <f t="shared" si="133"/>
        <v>60</v>
      </c>
    </row>
    <row r="332" spans="1:69" outlineLevel="2">
      <c r="E332" s="47" t="s">
        <v>150</v>
      </c>
      <c r="G332" s="47" t="s">
        <v>91</v>
      </c>
      <c r="J332" s="5">
        <f t="shared" ref="J332:BQ332" si="134" xml:space="preserve">  IF( J331 = 1, 1, I332 + IF( MOD( J331, 3 ) = 1, 1, 0 ) )</f>
        <v>1</v>
      </c>
      <c r="K332" s="5">
        <f t="shared" si="134"/>
        <v>1</v>
      </c>
      <c r="L332" s="5">
        <f t="shared" si="134"/>
        <v>1</v>
      </c>
      <c r="M332" s="5">
        <f t="shared" si="134"/>
        <v>2</v>
      </c>
      <c r="N332" s="5">
        <f t="shared" si="134"/>
        <v>2</v>
      </c>
      <c r="O332" s="5">
        <f t="shared" si="134"/>
        <v>2</v>
      </c>
      <c r="P332" s="5">
        <f t="shared" si="134"/>
        <v>3</v>
      </c>
      <c r="Q332" s="5">
        <f t="shared" si="134"/>
        <v>3</v>
      </c>
      <c r="R332" s="5">
        <f t="shared" si="134"/>
        <v>3</v>
      </c>
      <c r="S332" s="5">
        <f t="shared" si="134"/>
        <v>4</v>
      </c>
      <c r="T332" s="5">
        <f t="shared" si="134"/>
        <v>4</v>
      </c>
      <c r="U332" s="5">
        <f t="shared" si="134"/>
        <v>4</v>
      </c>
      <c r="V332" s="5">
        <f t="shared" si="134"/>
        <v>5</v>
      </c>
      <c r="W332" s="5">
        <f t="shared" si="134"/>
        <v>5</v>
      </c>
      <c r="X332" s="5">
        <f t="shared" si="134"/>
        <v>5</v>
      </c>
      <c r="Y332" s="5">
        <f t="shared" si="134"/>
        <v>6</v>
      </c>
      <c r="Z332" s="5">
        <f t="shared" si="134"/>
        <v>6</v>
      </c>
      <c r="AA332" s="5">
        <f t="shared" si="134"/>
        <v>6</v>
      </c>
      <c r="AB332" s="5">
        <f t="shared" si="134"/>
        <v>7</v>
      </c>
      <c r="AC332" s="5">
        <f t="shared" si="134"/>
        <v>7</v>
      </c>
      <c r="AD332" s="5">
        <f t="shared" si="134"/>
        <v>7</v>
      </c>
      <c r="AE332" s="5">
        <f t="shared" si="134"/>
        <v>8</v>
      </c>
      <c r="AF332" s="5">
        <f t="shared" si="134"/>
        <v>8</v>
      </c>
      <c r="AG332" s="5">
        <f t="shared" si="134"/>
        <v>8</v>
      </c>
      <c r="AH332" s="5">
        <f t="shared" si="134"/>
        <v>9</v>
      </c>
      <c r="AI332" s="5">
        <f t="shared" si="134"/>
        <v>9</v>
      </c>
      <c r="AJ332" s="5">
        <f t="shared" si="134"/>
        <v>9</v>
      </c>
      <c r="AK332" s="5">
        <f t="shared" si="134"/>
        <v>10</v>
      </c>
      <c r="AL332" s="5">
        <f t="shared" si="134"/>
        <v>10</v>
      </c>
      <c r="AM332" s="5">
        <f t="shared" si="134"/>
        <v>10</v>
      </c>
      <c r="AN332" s="5">
        <f t="shared" si="134"/>
        <v>11</v>
      </c>
      <c r="AO332" s="5">
        <f t="shared" si="134"/>
        <v>11</v>
      </c>
      <c r="AP332" s="5">
        <f t="shared" si="134"/>
        <v>11</v>
      </c>
      <c r="AQ332" s="5">
        <f t="shared" si="134"/>
        <v>12</v>
      </c>
      <c r="AR332" s="5">
        <f t="shared" si="134"/>
        <v>12</v>
      </c>
      <c r="AS332" s="5">
        <f t="shared" si="134"/>
        <v>12</v>
      </c>
      <c r="AT332" s="5">
        <f t="shared" si="134"/>
        <v>13</v>
      </c>
      <c r="AU332" s="5">
        <f t="shared" si="134"/>
        <v>13</v>
      </c>
      <c r="AV332" s="5">
        <f t="shared" si="134"/>
        <v>13</v>
      </c>
      <c r="AW332" s="5">
        <f t="shared" si="134"/>
        <v>14</v>
      </c>
      <c r="AX332" s="5">
        <f t="shared" si="134"/>
        <v>14</v>
      </c>
      <c r="AY332" s="5">
        <f t="shared" si="134"/>
        <v>14</v>
      </c>
      <c r="AZ332" s="5">
        <f t="shared" si="134"/>
        <v>15</v>
      </c>
      <c r="BA332" s="5">
        <f t="shared" si="134"/>
        <v>15</v>
      </c>
      <c r="BB332" s="5">
        <f t="shared" si="134"/>
        <v>15</v>
      </c>
      <c r="BC332" s="5">
        <f t="shared" si="134"/>
        <v>16</v>
      </c>
      <c r="BD332" s="5">
        <f t="shared" si="134"/>
        <v>16</v>
      </c>
      <c r="BE332" s="5">
        <f t="shared" si="134"/>
        <v>16</v>
      </c>
      <c r="BF332" s="5">
        <f t="shared" si="134"/>
        <v>17</v>
      </c>
      <c r="BG332" s="5">
        <f t="shared" si="134"/>
        <v>17</v>
      </c>
      <c r="BH332" s="5">
        <f t="shared" si="134"/>
        <v>17</v>
      </c>
      <c r="BI332" s="5">
        <f t="shared" si="134"/>
        <v>18</v>
      </c>
      <c r="BJ332" s="5">
        <f t="shared" si="134"/>
        <v>18</v>
      </c>
      <c r="BK332" s="5">
        <f t="shared" si="134"/>
        <v>18</v>
      </c>
      <c r="BL332" s="5">
        <f t="shared" si="134"/>
        <v>19</v>
      </c>
      <c r="BM332" s="5">
        <f t="shared" si="134"/>
        <v>19</v>
      </c>
      <c r="BN332" s="5">
        <f t="shared" si="134"/>
        <v>19</v>
      </c>
      <c r="BO332" s="5">
        <f t="shared" si="134"/>
        <v>20</v>
      </c>
      <c r="BP332" s="5">
        <f t="shared" si="134"/>
        <v>20</v>
      </c>
      <c r="BQ332" s="5">
        <f t="shared" si="134"/>
        <v>20</v>
      </c>
    </row>
    <row r="333" spans="1:69" outlineLevel="1"/>
    <row r="334" spans="1:69" outlineLevel="1"/>
    <row r="335" spans="1:69" outlineLevel="1">
      <c r="B335" s="25" t="s">
        <v>33</v>
      </c>
    </row>
    <row r="336" spans="1:69" outlineLevel="2">
      <c r="E336" s="5" t="str">
        <f t="shared" ref="E336:BQ336" si="135" xml:space="preserve">  E$28</f>
        <v>Period number</v>
      </c>
      <c r="F336" s="5">
        <f t="shared" si="135"/>
        <v>0</v>
      </c>
      <c r="G336" s="5" t="str">
        <f t="shared" si="135"/>
        <v>Counter</v>
      </c>
      <c r="H336" s="5">
        <f t="shared" si="135"/>
        <v>0</v>
      </c>
      <c r="I336" s="5">
        <f t="shared" si="135"/>
        <v>0</v>
      </c>
      <c r="J336" s="5">
        <f t="shared" si="135"/>
        <v>1</v>
      </c>
      <c r="K336" s="5">
        <f t="shared" si="135"/>
        <v>2</v>
      </c>
      <c r="L336" s="5">
        <f t="shared" si="135"/>
        <v>3</v>
      </c>
      <c r="M336" s="5">
        <f t="shared" si="135"/>
        <v>4</v>
      </c>
      <c r="N336" s="5">
        <f t="shared" si="135"/>
        <v>5</v>
      </c>
      <c r="O336" s="5">
        <f t="shared" si="135"/>
        <v>6</v>
      </c>
      <c r="P336" s="5">
        <f t="shared" si="135"/>
        <v>7</v>
      </c>
      <c r="Q336" s="5">
        <f t="shared" si="135"/>
        <v>8</v>
      </c>
      <c r="R336" s="5">
        <f t="shared" si="135"/>
        <v>9</v>
      </c>
      <c r="S336" s="5">
        <f t="shared" si="135"/>
        <v>10</v>
      </c>
      <c r="T336" s="5">
        <f t="shared" si="135"/>
        <v>11</v>
      </c>
      <c r="U336" s="5">
        <f t="shared" si="135"/>
        <v>12</v>
      </c>
      <c r="V336" s="5">
        <f t="shared" si="135"/>
        <v>13</v>
      </c>
      <c r="W336" s="5">
        <f t="shared" si="135"/>
        <v>14</v>
      </c>
      <c r="X336" s="5">
        <f t="shared" si="135"/>
        <v>15</v>
      </c>
      <c r="Y336" s="5">
        <f t="shared" si="135"/>
        <v>16</v>
      </c>
      <c r="Z336" s="5">
        <f t="shared" si="135"/>
        <v>17</v>
      </c>
      <c r="AA336" s="5">
        <f t="shared" si="135"/>
        <v>18</v>
      </c>
      <c r="AB336" s="5">
        <f t="shared" si="135"/>
        <v>19</v>
      </c>
      <c r="AC336" s="5">
        <f t="shared" si="135"/>
        <v>20</v>
      </c>
      <c r="AD336" s="5">
        <f t="shared" si="135"/>
        <v>21</v>
      </c>
      <c r="AE336" s="5">
        <f t="shared" si="135"/>
        <v>22</v>
      </c>
      <c r="AF336" s="5">
        <f t="shared" si="135"/>
        <v>23</v>
      </c>
      <c r="AG336" s="5">
        <f t="shared" si="135"/>
        <v>24</v>
      </c>
      <c r="AH336" s="5">
        <f t="shared" si="135"/>
        <v>25</v>
      </c>
      <c r="AI336" s="5">
        <f t="shared" si="135"/>
        <v>26</v>
      </c>
      <c r="AJ336" s="5">
        <f t="shared" si="135"/>
        <v>27</v>
      </c>
      <c r="AK336" s="5">
        <f t="shared" si="135"/>
        <v>28</v>
      </c>
      <c r="AL336" s="5">
        <f t="shared" si="135"/>
        <v>29</v>
      </c>
      <c r="AM336" s="5">
        <f t="shared" si="135"/>
        <v>30</v>
      </c>
      <c r="AN336" s="5">
        <f t="shared" si="135"/>
        <v>31</v>
      </c>
      <c r="AO336" s="5">
        <f t="shared" si="135"/>
        <v>32</v>
      </c>
      <c r="AP336" s="5">
        <f t="shared" si="135"/>
        <v>33</v>
      </c>
      <c r="AQ336" s="5">
        <f t="shared" si="135"/>
        <v>34</v>
      </c>
      <c r="AR336" s="5">
        <f t="shared" si="135"/>
        <v>35</v>
      </c>
      <c r="AS336" s="5">
        <f t="shared" si="135"/>
        <v>36</v>
      </c>
      <c r="AT336" s="5">
        <f t="shared" si="135"/>
        <v>37</v>
      </c>
      <c r="AU336" s="5">
        <f t="shared" si="135"/>
        <v>38</v>
      </c>
      <c r="AV336" s="5">
        <f t="shared" si="135"/>
        <v>39</v>
      </c>
      <c r="AW336" s="5">
        <f t="shared" si="135"/>
        <v>40</v>
      </c>
      <c r="AX336" s="5">
        <f t="shared" si="135"/>
        <v>41</v>
      </c>
      <c r="AY336" s="5">
        <f t="shared" si="135"/>
        <v>42</v>
      </c>
      <c r="AZ336" s="5">
        <f t="shared" si="135"/>
        <v>43</v>
      </c>
      <c r="BA336" s="5">
        <f t="shared" si="135"/>
        <v>44</v>
      </c>
      <c r="BB336" s="5">
        <f t="shared" si="135"/>
        <v>45</v>
      </c>
      <c r="BC336" s="5">
        <f t="shared" si="135"/>
        <v>46</v>
      </c>
      <c r="BD336" s="5">
        <f t="shared" si="135"/>
        <v>47</v>
      </c>
      <c r="BE336" s="5">
        <f t="shared" si="135"/>
        <v>48</v>
      </c>
      <c r="BF336" s="5">
        <f t="shared" si="135"/>
        <v>49</v>
      </c>
      <c r="BG336" s="5">
        <f t="shared" si="135"/>
        <v>50</v>
      </c>
      <c r="BH336" s="5">
        <f t="shared" si="135"/>
        <v>51</v>
      </c>
      <c r="BI336" s="5">
        <f t="shared" si="135"/>
        <v>52</v>
      </c>
      <c r="BJ336" s="5">
        <f t="shared" si="135"/>
        <v>53</v>
      </c>
      <c r="BK336" s="5">
        <f t="shared" si="135"/>
        <v>54</v>
      </c>
      <c r="BL336" s="5">
        <f t="shared" si="135"/>
        <v>55</v>
      </c>
      <c r="BM336" s="5">
        <f t="shared" si="135"/>
        <v>56</v>
      </c>
      <c r="BN336" s="5">
        <f t="shared" si="135"/>
        <v>57</v>
      </c>
      <c r="BO336" s="5">
        <f t="shared" si="135"/>
        <v>58</v>
      </c>
      <c r="BP336" s="5">
        <f t="shared" si="135"/>
        <v>59</v>
      </c>
      <c r="BQ336" s="5">
        <f t="shared" si="135"/>
        <v>60</v>
      </c>
    </row>
    <row r="337" spans="1:69" outlineLevel="2">
      <c r="E337" s="47" t="s">
        <v>33</v>
      </c>
      <c r="G337" s="47" t="s">
        <v>91</v>
      </c>
      <c r="I337" s="5">
        <f t="shared" ref="I337:BQ337" si="136" xml:space="preserve">  IF( MOD( I336, 3 ) = 0, ( I336 / 3 ), 0 )</f>
        <v>0</v>
      </c>
      <c r="J337" s="5">
        <f t="shared" si="136"/>
        <v>0</v>
      </c>
      <c r="K337" s="5">
        <f t="shared" si="136"/>
        <v>0</v>
      </c>
      <c r="L337" s="5">
        <f t="shared" si="136"/>
        <v>1</v>
      </c>
      <c r="M337" s="5">
        <f t="shared" si="136"/>
        <v>0</v>
      </c>
      <c r="N337" s="5">
        <f t="shared" si="136"/>
        <v>0</v>
      </c>
      <c r="O337" s="5">
        <f t="shared" si="136"/>
        <v>2</v>
      </c>
      <c r="P337" s="5">
        <f t="shared" si="136"/>
        <v>0</v>
      </c>
      <c r="Q337" s="5">
        <f t="shared" si="136"/>
        <v>0</v>
      </c>
      <c r="R337" s="5">
        <f t="shared" si="136"/>
        <v>3</v>
      </c>
      <c r="S337" s="5">
        <f t="shared" si="136"/>
        <v>0</v>
      </c>
      <c r="T337" s="5">
        <f t="shared" si="136"/>
        <v>0</v>
      </c>
      <c r="U337" s="5">
        <f t="shared" si="136"/>
        <v>4</v>
      </c>
      <c r="V337" s="5">
        <f t="shared" si="136"/>
        <v>0</v>
      </c>
      <c r="W337" s="5">
        <f t="shared" si="136"/>
        <v>0</v>
      </c>
      <c r="X337" s="5">
        <f t="shared" si="136"/>
        <v>5</v>
      </c>
      <c r="Y337" s="5">
        <f t="shared" si="136"/>
        <v>0</v>
      </c>
      <c r="Z337" s="5">
        <f t="shared" si="136"/>
        <v>0</v>
      </c>
      <c r="AA337" s="5">
        <f t="shared" si="136"/>
        <v>6</v>
      </c>
      <c r="AB337" s="5">
        <f t="shared" si="136"/>
        <v>0</v>
      </c>
      <c r="AC337" s="5">
        <f t="shared" si="136"/>
        <v>0</v>
      </c>
      <c r="AD337" s="5">
        <f t="shared" si="136"/>
        <v>7</v>
      </c>
      <c r="AE337" s="5">
        <f t="shared" si="136"/>
        <v>0</v>
      </c>
      <c r="AF337" s="5">
        <f t="shared" si="136"/>
        <v>0</v>
      </c>
      <c r="AG337" s="5">
        <f t="shared" si="136"/>
        <v>8</v>
      </c>
      <c r="AH337" s="5">
        <f t="shared" si="136"/>
        <v>0</v>
      </c>
      <c r="AI337" s="5">
        <f t="shared" si="136"/>
        <v>0</v>
      </c>
      <c r="AJ337" s="5">
        <f t="shared" si="136"/>
        <v>9</v>
      </c>
      <c r="AK337" s="5">
        <f t="shared" si="136"/>
        <v>0</v>
      </c>
      <c r="AL337" s="5">
        <f t="shared" si="136"/>
        <v>0</v>
      </c>
      <c r="AM337" s="5">
        <f t="shared" si="136"/>
        <v>10</v>
      </c>
      <c r="AN337" s="5">
        <f t="shared" si="136"/>
        <v>0</v>
      </c>
      <c r="AO337" s="5">
        <f t="shared" si="136"/>
        <v>0</v>
      </c>
      <c r="AP337" s="5">
        <f t="shared" si="136"/>
        <v>11</v>
      </c>
      <c r="AQ337" s="5">
        <f t="shared" si="136"/>
        <v>0</v>
      </c>
      <c r="AR337" s="5">
        <f t="shared" si="136"/>
        <v>0</v>
      </c>
      <c r="AS337" s="5">
        <f t="shared" si="136"/>
        <v>12</v>
      </c>
      <c r="AT337" s="5">
        <f t="shared" si="136"/>
        <v>0</v>
      </c>
      <c r="AU337" s="5">
        <f t="shared" si="136"/>
        <v>0</v>
      </c>
      <c r="AV337" s="5">
        <f t="shared" si="136"/>
        <v>13</v>
      </c>
      <c r="AW337" s="5">
        <f t="shared" si="136"/>
        <v>0</v>
      </c>
      <c r="AX337" s="5">
        <f t="shared" si="136"/>
        <v>0</v>
      </c>
      <c r="AY337" s="5">
        <f t="shared" si="136"/>
        <v>14</v>
      </c>
      <c r="AZ337" s="5">
        <f t="shared" si="136"/>
        <v>0</v>
      </c>
      <c r="BA337" s="5">
        <f t="shared" si="136"/>
        <v>0</v>
      </c>
      <c r="BB337" s="5">
        <f t="shared" si="136"/>
        <v>15</v>
      </c>
      <c r="BC337" s="5">
        <f t="shared" si="136"/>
        <v>0</v>
      </c>
      <c r="BD337" s="5">
        <f t="shared" si="136"/>
        <v>0</v>
      </c>
      <c r="BE337" s="5">
        <f t="shared" si="136"/>
        <v>16</v>
      </c>
      <c r="BF337" s="5">
        <f t="shared" si="136"/>
        <v>0</v>
      </c>
      <c r="BG337" s="5">
        <f t="shared" si="136"/>
        <v>0</v>
      </c>
      <c r="BH337" s="5">
        <f t="shared" si="136"/>
        <v>17</v>
      </c>
      <c r="BI337" s="5">
        <f t="shared" si="136"/>
        <v>0</v>
      </c>
      <c r="BJ337" s="5">
        <f t="shared" si="136"/>
        <v>0</v>
      </c>
      <c r="BK337" s="5">
        <f t="shared" si="136"/>
        <v>18</v>
      </c>
      <c r="BL337" s="5">
        <f t="shared" si="136"/>
        <v>0</v>
      </c>
      <c r="BM337" s="5">
        <f t="shared" si="136"/>
        <v>0</v>
      </c>
      <c r="BN337" s="5">
        <f t="shared" si="136"/>
        <v>19</v>
      </c>
      <c r="BO337" s="5">
        <f t="shared" si="136"/>
        <v>0</v>
      </c>
      <c r="BP337" s="5">
        <f t="shared" si="136"/>
        <v>0</v>
      </c>
      <c r="BQ337" s="5">
        <f t="shared" si="136"/>
        <v>20</v>
      </c>
    </row>
    <row r="338" spans="1:69" outlineLevel="1"/>
    <row r="339" spans="1:69" outlineLevel="1"/>
    <row r="340" spans="1:69" outlineLevel="1">
      <c r="B340" s="25" t="s">
        <v>79</v>
      </c>
    </row>
    <row r="341" spans="1:69" outlineLevel="2">
      <c r="A341" s="18"/>
      <c r="B341" s="18"/>
      <c r="C341" s="28"/>
      <c r="D341" s="27"/>
      <c r="E341" s="20" t="str">
        <f xml:space="preserve">  InpC!E$101</f>
        <v>Start date</v>
      </c>
      <c r="F341" s="20">
        <f xml:space="preserve">  InpC!F$101</f>
        <v>45047</v>
      </c>
      <c r="G341" s="20" t="str">
        <f xml:space="preserve">  InpC!G$101</f>
        <v>date</v>
      </c>
      <c r="M341" s="8"/>
    </row>
    <row r="342" spans="1:69" outlineLevel="2">
      <c r="E342" s="47" t="s">
        <v>79</v>
      </c>
      <c r="F342" s="2">
        <f xml:space="preserve">  $F341 - 1</f>
        <v>45046</v>
      </c>
      <c r="G342" s="47" t="s">
        <v>213</v>
      </c>
      <c r="M342" s="2"/>
    </row>
    <row r="343" spans="1:69" outlineLevel="1"/>
    <row r="344" spans="1:69" outlineLevel="1"/>
    <row r="345" spans="1:69" outlineLevel="1">
      <c r="B345" s="25" t="s">
        <v>319</v>
      </c>
    </row>
    <row r="346" spans="1:69" outlineLevel="2">
      <c r="E346" s="5" t="str">
        <f t="shared" ref="E346:BQ346" si="137" xml:space="preserve">  E$28</f>
        <v>Period number</v>
      </c>
      <c r="F346" s="5">
        <f t="shared" si="137"/>
        <v>0</v>
      </c>
      <c r="G346" s="5" t="str">
        <f t="shared" si="137"/>
        <v>Counter</v>
      </c>
      <c r="H346" s="5">
        <f t="shared" si="137"/>
        <v>0</v>
      </c>
      <c r="I346" s="5">
        <f t="shared" si="137"/>
        <v>0</v>
      </c>
      <c r="J346" s="5">
        <f t="shared" si="137"/>
        <v>1</v>
      </c>
      <c r="K346" s="5">
        <f t="shared" si="137"/>
        <v>2</v>
      </c>
      <c r="L346" s="5">
        <f t="shared" si="137"/>
        <v>3</v>
      </c>
      <c r="M346" s="5">
        <f t="shared" si="137"/>
        <v>4</v>
      </c>
      <c r="N346" s="5">
        <f t="shared" si="137"/>
        <v>5</v>
      </c>
      <c r="O346" s="5">
        <f t="shared" si="137"/>
        <v>6</v>
      </c>
      <c r="P346" s="5">
        <f t="shared" si="137"/>
        <v>7</v>
      </c>
      <c r="Q346" s="5">
        <f t="shared" si="137"/>
        <v>8</v>
      </c>
      <c r="R346" s="5">
        <f t="shared" si="137"/>
        <v>9</v>
      </c>
      <c r="S346" s="5">
        <f t="shared" si="137"/>
        <v>10</v>
      </c>
      <c r="T346" s="5">
        <f t="shared" si="137"/>
        <v>11</v>
      </c>
      <c r="U346" s="5">
        <f t="shared" si="137"/>
        <v>12</v>
      </c>
      <c r="V346" s="5">
        <f t="shared" si="137"/>
        <v>13</v>
      </c>
      <c r="W346" s="5">
        <f t="shared" si="137"/>
        <v>14</v>
      </c>
      <c r="X346" s="5">
        <f t="shared" si="137"/>
        <v>15</v>
      </c>
      <c r="Y346" s="5">
        <f t="shared" si="137"/>
        <v>16</v>
      </c>
      <c r="Z346" s="5">
        <f t="shared" si="137"/>
        <v>17</v>
      </c>
      <c r="AA346" s="5">
        <f t="shared" si="137"/>
        <v>18</v>
      </c>
      <c r="AB346" s="5">
        <f t="shared" si="137"/>
        <v>19</v>
      </c>
      <c r="AC346" s="5">
        <f t="shared" si="137"/>
        <v>20</v>
      </c>
      <c r="AD346" s="5">
        <f t="shared" si="137"/>
        <v>21</v>
      </c>
      <c r="AE346" s="5">
        <f t="shared" si="137"/>
        <v>22</v>
      </c>
      <c r="AF346" s="5">
        <f t="shared" si="137"/>
        <v>23</v>
      </c>
      <c r="AG346" s="5">
        <f t="shared" si="137"/>
        <v>24</v>
      </c>
      <c r="AH346" s="5">
        <f t="shared" si="137"/>
        <v>25</v>
      </c>
      <c r="AI346" s="5">
        <f t="shared" si="137"/>
        <v>26</v>
      </c>
      <c r="AJ346" s="5">
        <f t="shared" si="137"/>
        <v>27</v>
      </c>
      <c r="AK346" s="5">
        <f t="shared" si="137"/>
        <v>28</v>
      </c>
      <c r="AL346" s="5">
        <f t="shared" si="137"/>
        <v>29</v>
      </c>
      <c r="AM346" s="5">
        <f t="shared" si="137"/>
        <v>30</v>
      </c>
      <c r="AN346" s="5">
        <f t="shared" si="137"/>
        <v>31</v>
      </c>
      <c r="AO346" s="5">
        <f t="shared" si="137"/>
        <v>32</v>
      </c>
      <c r="AP346" s="5">
        <f t="shared" si="137"/>
        <v>33</v>
      </c>
      <c r="AQ346" s="5">
        <f t="shared" si="137"/>
        <v>34</v>
      </c>
      <c r="AR346" s="5">
        <f t="shared" si="137"/>
        <v>35</v>
      </c>
      <c r="AS346" s="5">
        <f t="shared" si="137"/>
        <v>36</v>
      </c>
      <c r="AT346" s="5">
        <f t="shared" si="137"/>
        <v>37</v>
      </c>
      <c r="AU346" s="5">
        <f t="shared" si="137"/>
        <v>38</v>
      </c>
      <c r="AV346" s="5">
        <f t="shared" si="137"/>
        <v>39</v>
      </c>
      <c r="AW346" s="5">
        <f t="shared" si="137"/>
        <v>40</v>
      </c>
      <c r="AX346" s="5">
        <f t="shared" si="137"/>
        <v>41</v>
      </c>
      <c r="AY346" s="5">
        <f t="shared" si="137"/>
        <v>42</v>
      </c>
      <c r="AZ346" s="5">
        <f t="shared" si="137"/>
        <v>43</v>
      </c>
      <c r="BA346" s="5">
        <f t="shared" si="137"/>
        <v>44</v>
      </c>
      <c r="BB346" s="5">
        <f t="shared" si="137"/>
        <v>45</v>
      </c>
      <c r="BC346" s="5">
        <f t="shared" si="137"/>
        <v>46</v>
      </c>
      <c r="BD346" s="5">
        <f t="shared" si="137"/>
        <v>47</v>
      </c>
      <c r="BE346" s="5">
        <f t="shared" si="137"/>
        <v>48</v>
      </c>
      <c r="BF346" s="5">
        <f t="shared" si="137"/>
        <v>49</v>
      </c>
      <c r="BG346" s="5">
        <f t="shared" si="137"/>
        <v>50</v>
      </c>
      <c r="BH346" s="5">
        <f t="shared" si="137"/>
        <v>51</v>
      </c>
      <c r="BI346" s="5">
        <f t="shared" si="137"/>
        <v>52</v>
      </c>
      <c r="BJ346" s="5">
        <f t="shared" si="137"/>
        <v>53</v>
      </c>
      <c r="BK346" s="5">
        <f t="shared" si="137"/>
        <v>54</v>
      </c>
      <c r="BL346" s="5">
        <f t="shared" si="137"/>
        <v>55</v>
      </c>
      <c r="BM346" s="5">
        <f t="shared" si="137"/>
        <v>56</v>
      </c>
      <c r="BN346" s="5">
        <f t="shared" si="137"/>
        <v>57</v>
      </c>
      <c r="BO346" s="5">
        <f t="shared" si="137"/>
        <v>58</v>
      </c>
      <c r="BP346" s="5">
        <f t="shared" si="137"/>
        <v>59</v>
      </c>
      <c r="BQ346" s="5">
        <f t="shared" si="137"/>
        <v>60</v>
      </c>
    </row>
    <row r="347" spans="1:69" outlineLevel="2">
      <c r="E347" s="47" t="s">
        <v>319</v>
      </c>
      <c r="G347" s="47" t="s">
        <v>91</v>
      </c>
      <c r="J347" s="5">
        <f t="shared" ref="J347:BQ347" si="138" xml:space="preserve">  IF( J346 = 1, 1, I347 + IF( MOD( J346, 6 ) = 1, 1, 0 ) )</f>
        <v>1</v>
      </c>
      <c r="K347" s="5">
        <f t="shared" si="138"/>
        <v>1</v>
      </c>
      <c r="L347" s="5">
        <f t="shared" si="138"/>
        <v>1</v>
      </c>
      <c r="M347" s="5">
        <f t="shared" si="138"/>
        <v>1</v>
      </c>
      <c r="N347" s="5">
        <f t="shared" si="138"/>
        <v>1</v>
      </c>
      <c r="O347" s="5">
        <f t="shared" si="138"/>
        <v>1</v>
      </c>
      <c r="P347" s="5">
        <f t="shared" si="138"/>
        <v>2</v>
      </c>
      <c r="Q347" s="5">
        <f t="shared" si="138"/>
        <v>2</v>
      </c>
      <c r="R347" s="5">
        <f t="shared" si="138"/>
        <v>2</v>
      </c>
      <c r="S347" s="5">
        <f t="shared" si="138"/>
        <v>2</v>
      </c>
      <c r="T347" s="5">
        <f t="shared" si="138"/>
        <v>2</v>
      </c>
      <c r="U347" s="5">
        <f t="shared" si="138"/>
        <v>2</v>
      </c>
      <c r="V347" s="5">
        <f t="shared" si="138"/>
        <v>3</v>
      </c>
      <c r="W347" s="5">
        <f t="shared" si="138"/>
        <v>3</v>
      </c>
      <c r="X347" s="5">
        <f t="shared" si="138"/>
        <v>3</v>
      </c>
      <c r="Y347" s="5">
        <f t="shared" si="138"/>
        <v>3</v>
      </c>
      <c r="Z347" s="5">
        <f t="shared" si="138"/>
        <v>3</v>
      </c>
      <c r="AA347" s="5">
        <f t="shared" si="138"/>
        <v>3</v>
      </c>
      <c r="AB347" s="5">
        <f t="shared" si="138"/>
        <v>4</v>
      </c>
      <c r="AC347" s="5">
        <f t="shared" si="138"/>
        <v>4</v>
      </c>
      <c r="AD347" s="5">
        <f t="shared" si="138"/>
        <v>4</v>
      </c>
      <c r="AE347" s="5">
        <f t="shared" si="138"/>
        <v>4</v>
      </c>
      <c r="AF347" s="5">
        <f t="shared" si="138"/>
        <v>4</v>
      </c>
      <c r="AG347" s="5">
        <f t="shared" si="138"/>
        <v>4</v>
      </c>
      <c r="AH347" s="5">
        <f t="shared" si="138"/>
        <v>5</v>
      </c>
      <c r="AI347" s="5">
        <f t="shared" si="138"/>
        <v>5</v>
      </c>
      <c r="AJ347" s="5">
        <f t="shared" si="138"/>
        <v>5</v>
      </c>
      <c r="AK347" s="5">
        <f t="shared" si="138"/>
        <v>5</v>
      </c>
      <c r="AL347" s="5">
        <f t="shared" si="138"/>
        <v>5</v>
      </c>
      <c r="AM347" s="5">
        <f t="shared" si="138"/>
        <v>5</v>
      </c>
      <c r="AN347" s="5">
        <f t="shared" si="138"/>
        <v>6</v>
      </c>
      <c r="AO347" s="5">
        <f t="shared" si="138"/>
        <v>6</v>
      </c>
      <c r="AP347" s="5">
        <f t="shared" si="138"/>
        <v>6</v>
      </c>
      <c r="AQ347" s="5">
        <f t="shared" si="138"/>
        <v>6</v>
      </c>
      <c r="AR347" s="5">
        <f t="shared" si="138"/>
        <v>6</v>
      </c>
      <c r="AS347" s="5">
        <f t="shared" si="138"/>
        <v>6</v>
      </c>
      <c r="AT347" s="5">
        <f t="shared" si="138"/>
        <v>7</v>
      </c>
      <c r="AU347" s="5">
        <f t="shared" si="138"/>
        <v>7</v>
      </c>
      <c r="AV347" s="5">
        <f t="shared" si="138"/>
        <v>7</v>
      </c>
      <c r="AW347" s="5">
        <f t="shared" si="138"/>
        <v>7</v>
      </c>
      <c r="AX347" s="5">
        <f t="shared" si="138"/>
        <v>7</v>
      </c>
      <c r="AY347" s="5">
        <f t="shared" si="138"/>
        <v>7</v>
      </c>
      <c r="AZ347" s="5">
        <f t="shared" si="138"/>
        <v>8</v>
      </c>
      <c r="BA347" s="5">
        <f t="shared" si="138"/>
        <v>8</v>
      </c>
      <c r="BB347" s="5">
        <f t="shared" si="138"/>
        <v>8</v>
      </c>
      <c r="BC347" s="5">
        <f t="shared" si="138"/>
        <v>8</v>
      </c>
      <c r="BD347" s="5">
        <f t="shared" si="138"/>
        <v>8</v>
      </c>
      <c r="BE347" s="5">
        <f t="shared" si="138"/>
        <v>8</v>
      </c>
      <c r="BF347" s="5">
        <f t="shared" si="138"/>
        <v>9</v>
      </c>
      <c r="BG347" s="5">
        <f t="shared" si="138"/>
        <v>9</v>
      </c>
      <c r="BH347" s="5">
        <f t="shared" si="138"/>
        <v>9</v>
      </c>
      <c r="BI347" s="5">
        <f t="shared" si="138"/>
        <v>9</v>
      </c>
      <c r="BJ347" s="5">
        <f t="shared" si="138"/>
        <v>9</v>
      </c>
      <c r="BK347" s="5">
        <f t="shared" si="138"/>
        <v>9</v>
      </c>
      <c r="BL347" s="5">
        <f t="shared" si="138"/>
        <v>10</v>
      </c>
      <c r="BM347" s="5">
        <f t="shared" si="138"/>
        <v>10</v>
      </c>
      <c r="BN347" s="5">
        <f t="shared" si="138"/>
        <v>10</v>
      </c>
      <c r="BO347" s="5">
        <f t="shared" si="138"/>
        <v>10</v>
      </c>
      <c r="BP347" s="5">
        <f t="shared" si="138"/>
        <v>10</v>
      </c>
      <c r="BQ347" s="5">
        <f t="shared" si="138"/>
        <v>10</v>
      </c>
    </row>
    <row r="348" spans="1:69" outlineLevel="1"/>
    <row r="349" spans="1:69" outlineLevel="1"/>
    <row r="350" spans="1:69" outlineLevel="1">
      <c r="B350" s="25" t="s">
        <v>261</v>
      </c>
    </row>
    <row r="351" spans="1:69" outlineLevel="2">
      <c r="E351" s="5" t="str">
        <f t="shared" ref="E351:BQ351" si="139" xml:space="preserve">  E$28</f>
        <v>Period number</v>
      </c>
      <c r="F351" s="5">
        <f t="shared" si="139"/>
        <v>0</v>
      </c>
      <c r="G351" s="5" t="str">
        <f t="shared" si="139"/>
        <v>Counter</v>
      </c>
      <c r="H351" s="5">
        <f t="shared" si="139"/>
        <v>0</v>
      </c>
      <c r="I351" s="5">
        <f t="shared" si="139"/>
        <v>0</v>
      </c>
      <c r="J351" s="5">
        <f t="shared" si="139"/>
        <v>1</v>
      </c>
      <c r="K351" s="5">
        <f t="shared" si="139"/>
        <v>2</v>
      </c>
      <c r="L351" s="5">
        <f t="shared" si="139"/>
        <v>3</v>
      </c>
      <c r="M351" s="5">
        <f t="shared" si="139"/>
        <v>4</v>
      </c>
      <c r="N351" s="5">
        <f t="shared" si="139"/>
        <v>5</v>
      </c>
      <c r="O351" s="5">
        <f t="shared" si="139"/>
        <v>6</v>
      </c>
      <c r="P351" s="5">
        <f t="shared" si="139"/>
        <v>7</v>
      </c>
      <c r="Q351" s="5">
        <f t="shared" si="139"/>
        <v>8</v>
      </c>
      <c r="R351" s="5">
        <f t="shared" si="139"/>
        <v>9</v>
      </c>
      <c r="S351" s="5">
        <f t="shared" si="139"/>
        <v>10</v>
      </c>
      <c r="T351" s="5">
        <f t="shared" si="139"/>
        <v>11</v>
      </c>
      <c r="U351" s="5">
        <f t="shared" si="139"/>
        <v>12</v>
      </c>
      <c r="V351" s="5">
        <f t="shared" si="139"/>
        <v>13</v>
      </c>
      <c r="W351" s="5">
        <f t="shared" si="139"/>
        <v>14</v>
      </c>
      <c r="X351" s="5">
        <f t="shared" si="139"/>
        <v>15</v>
      </c>
      <c r="Y351" s="5">
        <f t="shared" si="139"/>
        <v>16</v>
      </c>
      <c r="Z351" s="5">
        <f t="shared" si="139"/>
        <v>17</v>
      </c>
      <c r="AA351" s="5">
        <f t="shared" si="139"/>
        <v>18</v>
      </c>
      <c r="AB351" s="5">
        <f t="shared" si="139"/>
        <v>19</v>
      </c>
      <c r="AC351" s="5">
        <f t="shared" si="139"/>
        <v>20</v>
      </c>
      <c r="AD351" s="5">
        <f t="shared" si="139"/>
        <v>21</v>
      </c>
      <c r="AE351" s="5">
        <f t="shared" si="139"/>
        <v>22</v>
      </c>
      <c r="AF351" s="5">
        <f t="shared" si="139"/>
        <v>23</v>
      </c>
      <c r="AG351" s="5">
        <f t="shared" si="139"/>
        <v>24</v>
      </c>
      <c r="AH351" s="5">
        <f t="shared" si="139"/>
        <v>25</v>
      </c>
      <c r="AI351" s="5">
        <f t="shared" si="139"/>
        <v>26</v>
      </c>
      <c r="AJ351" s="5">
        <f t="shared" si="139"/>
        <v>27</v>
      </c>
      <c r="AK351" s="5">
        <f t="shared" si="139"/>
        <v>28</v>
      </c>
      <c r="AL351" s="5">
        <f t="shared" si="139"/>
        <v>29</v>
      </c>
      <c r="AM351" s="5">
        <f t="shared" si="139"/>
        <v>30</v>
      </c>
      <c r="AN351" s="5">
        <f t="shared" si="139"/>
        <v>31</v>
      </c>
      <c r="AO351" s="5">
        <f t="shared" si="139"/>
        <v>32</v>
      </c>
      <c r="AP351" s="5">
        <f t="shared" si="139"/>
        <v>33</v>
      </c>
      <c r="AQ351" s="5">
        <f t="shared" si="139"/>
        <v>34</v>
      </c>
      <c r="AR351" s="5">
        <f t="shared" si="139"/>
        <v>35</v>
      </c>
      <c r="AS351" s="5">
        <f t="shared" si="139"/>
        <v>36</v>
      </c>
      <c r="AT351" s="5">
        <f t="shared" si="139"/>
        <v>37</v>
      </c>
      <c r="AU351" s="5">
        <f t="shared" si="139"/>
        <v>38</v>
      </c>
      <c r="AV351" s="5">
        <f t="shared" si="139"/>
        <v>39</v>
      </c>
      <c r="AW351" s="5">
        <f t="shared" si="139"/>
        <v>40</v>
      </c>
      <c r="AX351" s="5">
        <f t="shared" si="139"/>
        <v>41</v>
      </c>
      <c r="AY351" s="5">
        <f t="shared" si="139"/>
        <v>42</v>
      </c>
      <c r="AZ351" s="5">
        <f t="shared" si="139"/>
        <v>43</v>
      </c>
      <c r="BA351" s="5">
        <f t="shared" si="139"/>
        <v>44</v>
      </c>
      <c r="BB351" s="5">
        <f t="shared" si="139"/>
        <v>45</v>
      </c>
      <c r="BC351" s="5">
        <f t="shared" si="139"/>
        <v>46</v>
      </c>
      <c r="BD351" s="5">
        <f t="shared" si="139"/>
        <v>47</v>
      </c>
      <c r="BE351" s="5">
        <f t="shared" si="139"/>
        <v>48</v>
      </c>
      <c r="BF351" s="5">
        <f t="shared" si="139"/>
        <v>49</v>
      </c>
      <c r="BG351" s="5">
        <f t="shared" si="139"/>
        <v>50</v>
      </c>
      <c r="BH351" s="5">
        <f t="shared" si="139"/>
        <v>51</v>
      </c>
      <c r="BI351" s="5">
        <f t="shared" si="139"/>
        <v>52</v>
      </c>
      <c r="BJ351" s="5">
        <f t="shared" si="139"/>
        <v>53</v>
      </c>
      <c r="BK351" s="5">
        <f t="shared" si="139"/>
        <v>54</v>
      </c>
      <c r="BL351" s="5">
        <f t="shared" si="139"/>
        <v>55</v>
      </c>
      <c r="BM351" s="5">
        <f t="shared" si="139"/>
        <v>56</v>
      </c>
      <c r="BN351" s="5">
        <f t="shared" si="139"/>
        <v>57</v>
      </c>
      <c r="BO351" s="5">
        <f t="shared" si="139"/>
        <v>58</v>
      </c>
      <c r="BP351" s="5">
        <f t="shared" si="139"/>
        <v>59</v>
      </c>
      <c r="BQ351" s="5">
        <f t="shared" si="139"/>
        <v>60</v>
      </c>
    </row>
    <row r="352" spans="1:69" outlineLevel="2">
      <c r="E352" s="47" t="s">
        <v>261</v>
      </c>
      <c r="G352" s="47" t="s">
        <v>91</v>
      </c>
      <c r="I352" s="5">
        <f t="shared" ref="I352:BQ352" si="140" xml:space="preserve">  IF( MOD( I351, 6 ) = 0, ( I351 / 6 ), 0 )</f>
        <v>0</v>
      </c>
      <c r="J352" s="5">
        <f t="shared" si="140"/>
        <v>0</v>
      </c>
      <c r="K352" s="5">
        <f t="shared" si="140"/>
        <v>0</v>
      </c>
      <c r="L352" s="5">
        <f t="shared" si="140"/>
        <v>0</v>
      </c>
      <c r="M352" s="5">
        <f t="shared" si="140"/>
        <v>0</v>
      </c>
      <c r="N352" s="5">
        <f t="shared" si="140"/>
        <v>0</v>
      </c>
      <c r="O352" s="5">
        <f t="shared" si="140"/>
        <v>1</v>
      </c>
      <c r="P352" s="5">
        <f t="shared" si="140"/>
        <v>0</v>
      </c>
      <c r="Q352" s="5">
        <f t="shared" si="140"/>
        <v>0</v>
      </c>
      <c r="R352" s="5">
        <f t="shared" si="140"/>
        <v>0</v>
      </c>
      <c r="S352" s="5">
        <f t="shared" si="140"/>
        <v>0</v>
      </c>
      <c r="T352" s="5">
        <f t="shared" si="140"/>
        <v>0</v>
      </c>
      <c r="U352" s="5">
        <f t="shared" si="140"/>
        <v>2</v>
      </c>
      <c r="V352" s="5">
        <f t="shared" si="140"/>
        <v>0</v>
      </c>
      <c r="W352" s="5">
        <f t="shared" si="140"/>
        <v>0</v>
      </c>
      <c r="X352" s="5">
        <f t="shared" si="140"/>
        <v>0</v>
      </c>
      <c r="Y352" s="5">
        <f t="shared" si="140"/>
        <v>0</v>
      </c>
      <c r="Z352" s="5">
        <f t="shared" si="140"/>
        <v>0</v>
      </c>
      <c r="AA352" s="5">
        <f t="shared" si="140"/>
        <v>3</v>
      </c>
      <c r="AB352" s="5">
        <f t="shared" si="140"/>
        <v>0</v>
      </c>
      <c r="AC352" s="5">
        <f t="shared" si="140"/>
        <v>0</v>
      </c>
      <c r="AD352" s="5">
        <f t="shared" si="140"/>
        <v>0</v>
      </c>
      <c r="AE352" s="5">
        <f t="shared" si="140"/>
        <v>0</v>
      </c>
      <c r="AF352" s="5">
        <f t="shared" si="140"/>
        <v>0</v>
      </c>
      <c r="AG352" s="5">
        <f t="shared" si="140"/>
        <v>4</v>
      </c>
      <c r="AH352" s="5">
        <f t="shared" si="140"/>
        <v>0</v>
      </c>
      <c r="AI352" s="5">
        <f t="shared" si="140"/>
        <v>0</v>
      </c>
      <c r="AJ352" s="5">
        <f t="shared" si="140"/>
        <v>0</v>
      </c>
      <c r="AK352" s="5">
        <f t="shared" si="140"/>
        <v>0</v>
      </c>
      <c r="AL352" s="5">
        <f t="shared" si="140"/>
        <v>0</v>
      </c>
      <c r="AM352" s="5">
        <f t="shared" si="140"/>
        <v>5</v>
      </c>
      <c r="AN352" s="5">
        <f t="shared" si="140"/>
        <v>0</v>
      </c>
      <c r="AO352" s="5">
        <f t="shared" si="140"/>
        <v>0</v>
      </c>
      <c r="AP352" s="5">
        <f t="shared" si="140"/>
        <v>0</v>
      </c>
      <c r="AQ352" s="5">
        <f t="shared" si="140"/>
        <v>0</v>
      </c>
      <c r="AR352" s="5">
        <f t="shared" si="140"/>
        <v>0</v>
      </c>
      <c r="AS352" s="5">
        <f t="shared" si="140"/>
        <v>6</v>
      </c>
      <c r="AT352" s="5">
        <f t="shared" si="140"/>
        <v>0</v>
      </c>
      <c r="AU352" s="5">
        <f t="shared" si="140"/>
        <v>0</v>
      </c>
      <c r="AV352" s="5">
        <f t="shared" si="140"/>
        <v>0</v>
      </c>
      <c r="AW352" s="5">
        <f t="shared" si="140"/>
        <v>0</v>
      </c>
      <c r="AX352" s="5">
        <f t="shared" si="140"/>
        <v>0</v>
      </c>
      <c r="AY352" s="5">
        <f t="shared" si="140"/>
        <v>7</v>
      </c>
      <c r="AZ352" s="5">
        <f t="shared" si="140"/>
        <v>0</v>
      </c>
      <c r="BA352" s="5">
        <f t="shared" si="140"/>
        <v>0</v>
      </c>
      <c r="BB352" s="5">
        <f t="shared" si="140"/>
        <v>0</v>
      </c>
      <c r="BC352" s="5">
        <f t="shared" si="140"/>
        <v>0</v>
      </c>
      <c r="BD352" s="5">
        <f t="shared" si="140"/>
        <v>0</v>
      </c>
      <c r="BE352" s="5">
        <f t="shared" si="140"/>
        <v>8</v>
      </c>
      <c r="BF352" s="5">
        <f t="shared" si="140"/>
        <v>0</v>
      </c>
      <c r="BG352" s="5">
        <f t="shared" si="140"/>
        <v>0</v>
      </c>
      <c r="BH352" s="5">
        <f t="shared" si="140"/>
        <v>0</v>
      </c>
      <c r="BI352" s="5">
        <f t="shared" si="140"/>
        <v>0</v>
      </c>
      <c r="BJ352" s="5">
        <f t="shared" si="140"/>
        <v>0</v>
      </c>
      <c r="BK352" s="5">
        <f t="shared" si="140"/>
        <v>9</v>
      </c>
      <c r="BL352" s="5">
        <f t="shared" si="140"/>
        <v>0</v>
      </c>
      <c r="BM352" s="5">
        <f t="shared" si="140"/>
        <v>0</v>
      </c>
      <c r="BN352" s="5">
        <f t="shared" si="140"/>
        <v>0</v>
      </c>
      <c r="BO352" s="5">
        <f t="shared" si="140"/>
        <v>0</v>
      </c>
      <c r="BP352" s="5">
        <f t="shared" si="140"/>
        <v>0</v>
      </c>
      <c r="BQ352" s="5">
        <f t="shared" si="140"/>
        <v>10</v>
      </c>
    </row>
    <row r="353" spans="1:13" outlineLevel="1"/>
    <row r="354" spans="1:13" outlineLevel="1"/>
    <row r="355" spans="1:13" outlineLevel="1">
      <c r="B355" s="25" t="s">
        <v>262</v>
      </c>
    </row>
    <row r="356" spans="1:13" outlineLevel="2">
      <c r="A356" s="18"/>
      <c r="B356" s="18"/>
      <c r="C356" s="28"/>
      <c r="D356" s="27"/>
      <c r="E356" s="20" t="str">
        <f xml:space="preserve">  InpC!E$101</f>
        <v>Start date</v>
      </c>
      <c r="F356" s="20">
        <f xml:space="preserve">  InpC!F$101</f>
        <v>45047</v>
      </c>
      <c r="G356" s="20" t="str">
        <f xml:space="preserve">  InpC!G$101</f>
        <v>date</v>
      </c>
      <c r="M356" s="8"/>
    </row>
    <row r="357" spans="1:13" outlineLevel="2">
      <c r="E357" s="47" t="s">
        <v>262</v>
      </c>
      <c r="F357" s="2">
        <f xml:space="preserve">  $F356 - 1</f>
        <v>45046</v>
      </c>
      <c r="G357" s="47" t="s">
        <v>213</v>
      </c>
      <c r="M357" s="2"/>
    </row>
    <row r="358" spans="1:13" outlineLevel="1"/>
    <row r="361" spans="1:13">
      <c r="B361" s="25" t="s">
        <v>271</v>
      </c>
    </row>
  </sheetData>
  <conditionalFormatting sqref="F3">
    <cfRule type="cellIs" dxfId="338" priority="13" stopIfTrue="1" operator="notEqual">
      <formula>0</formula>
    </cfRule>
    <cfRule type="cellIs" dxfId="337" priority="14" stopIfTrue="1" operator="equal">
      <formula>""</formula>
    </cfRule>
  </conditionalFormatting>
  <conditionalFormatting sqref="J3:BQ3">
    <cfRule type="cellIs" dxfId="336" priority="11" stopIfTrue="1" operator="equal">
      <formula>"Construction"</formula>
    </cfRule>
    <cfRule type="cellIs" dxfId="335" priority="12" stopIfTrue="1" operator="equal">
      <formula>"Operations"</formula>
    </cfRule>
  </conditionalFormatting>
  <conditionalFormatting sqref="J3:BQ3">
    <cfRule type="cellIs" dxfId="334" priority="10" operator="equal">
      <formula>"Fin Close"</formula>
    </cfRule>
  </conditionalFormatting>
  <conditionalFormatting sqref="J3:BQ3">
    <cfRule type="cellIs" dxfId="333" priority="8" operator="equal">
      <formula>"PPA ext."</formula>
    </cfRule>
    <cfRule type="cellIs" dxfId="332" priority="9" operator="equal">
      <formula>"Delay"</formula>
    </cfRule>
  </conditionalFormatting>
  <conditionalFormatting sqref="F2">
    <cfRule type="cellIs" dxfId="331" priority="1" stopIfTrue="1" operator="notEqual">
      <formula>0</formula>
    </cfRule>
    <cfRule type="cellIs" dxfId="330"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Unallocated</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9" spans="1:69">
      <c r="B9" s="25" t="s">
        <v>271</v>
      </c>
    </row>
  </sheetData>
  <conditionalFormatting sqref="F3">
    <cfRule type="cellIs" dxfId="329" priority="13" stopIfTrue="1" operator="notEqual">
      <formula>0</formula>
    </cfRule>
    <cfRule type="cellIs" dxfId="328" priority="14" stopIfTrue="1" operator="equal">
      <formula>""</formula>
    </cfRule>
  </conditionalFormatting>
  <conditionalFormatting sqref="J3:BQ3">
    <cfRule type="cellIs" dxfId="327" priority="11" stopIfTrue="1" operator="equal">
      <formula>"Construction"</formula>
    </cfRule>
    <cfRule type="cellIs" dxfId="326" priority="12" stopIfTrue="1" operator="equal">
      <formula>"Operations"</formula>
    </cfRule>
  </conditionalFormatting>
  <conditionalFormatting sqref="J3:BQ3">
    <cfRule type="cellIs" dxfId="325" priority="10" operator="equal">
      <formula>"Fin Close"</formula>
    </cfRule>
  </conditionalFormatting>
  <conditionalFormatting sqref="J3:BQ3">
    <cfRule type="cellIs" dxfId="324" priority="8" operator="equal">
      <formula>"PPA ext."</formula>
    </cfRule>
    <cfRule type="cellIs" dxfId="323" priority="9" operator="equal">
      <formula>"Delay"</formula>
    </cfRule>
  </conditionalFormatting>
  <conditionalFormatting sqref="F2">
    <cfRule type="cellIs" dxfId="322" priority="1" stopIfTrue="1" operator="notEqual">
      <formula>0</formula>
    </cfRule>
    <cfRule type="cellIs" dxfId="321"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23.3320312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67" width="13.21875" style="47" bestFit="1" customWidth="1"/>
    <col min="68"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Metrics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59</v>
      </c>
    </row>
    <row r="9" spans="1:69" outlineLevel="1">
      <c r="A9" s="18"/>
      <c r="B9" s="18"/>
      <c r="C9" s="28"/>
      <c r="D9" s="27"/>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-65340</v>
      </c>
      <c r="K9" s="4">
        <f ca="1" xml:space="preserve">  Financials!K$13</f>
        <v>71320</v>
      </c>
      <c r="L9" s="4">
        <f ca="1" xml:space="preserve">  Financials!L$13</f>
        <v>193176.66666666663</v>
      </c>
      <c r="M9" s="4">
        <f ca="1" xml:space="preserve">  Financials!M$13</f>
        <v>485520.54065655801</v>
      </c>
      <c r="N9" s="4">
        <f ca="1" xml:space="preserve">  Financials!N$13</f>
        <v>744475.49392885691</v>
      </c>
      <c r="O9" s="4">
        <f ca="1" xml:space="preserve">  Financials!O$13</f>
        <v>1332026.2822021695</v>
      </c>
      <c r="P9" s="4">
        <f ca="1" xml:space="preserve">  Financials!P$13</f>
        <v>1614348.9419903029</v>
      </c>
      <c r="Q9" s="4">
        <f ca="1" xml:space="preserve">  Financials!Q$13</f>
        <v>1872187.0585899514</v>
      </c>
      <c r="R9" s="4">
        <f ca="1" xml:space="preserve">  Financials!R$13</f>
        <v>1906847.9353443733</v>
      </c>
      <c r="S9" s="4">
        <f ca="1" xml:space="preserve">  Financials!S$13</f>
        <v>2069733.9779660082</v>
      </c>
      <c r="T9" s="4">
        <f ca="1" xml:space="preserve">  Financials!T$13</f>
        <v>1943782.0255325965</v>
      </c>
      <c r="U9" s="4">
        <f ca="1" xml:space="preserve">  Financials!U$13</f>
        <v>1957540.9211432522</v>
      </c>
      <c r="V9" s="4">
        <f ca="1" xml:space="preserve">  Financials!V$13</f>
        <v>3371414.3072090307</v>
      </c>
      <c r="W9" s="4">
        <f ca="1" xml:space="preserve">  Financials!W$13</f>
        <v>3341287.6750310166</v>
      </c>
      <c r="X9" s="4">
        <f ca="1" xml:space="preserve">  Financials!X$13</f>
        <v>4242935.1976549812</v>
      </c>
      <c r="Y9" s="4">
        <f ca="1" xml:space="preserve">  Financials!Y$13</f>
        <v>5289249.8100747652</v>
      </c>
      <c r="Z9" s="4">
        <f ca="1" xml:space="preserve">  Financials!Z$13</f>
        <v>5878606.5808998188</v>
      </c>
      <c r="AA9" s="4">
        <f ca="1" xml:space="preserve">  Financials!AA$13</f>
        <v>7090626.989580051</v>
      </c>
      <c r="AB9" s="4">
        <f ca="1" xml:space="preserve">  Financials!AB$13</f>
        <v>7379084.5286071366</v>
      </c>
      <c r="AC9" s="4">
        <f ca="1" xml:space="preserve">  Financials!AC$13</f>
        <v>7636516.3688325454</v>
      </c>
      <c r="AD9" s="4">
        <f ca="1" xml:space="preserve">  Financials!AD$13</f>
        <v>8109084.5977086704</v>
      </c>
      <c r="AE9" s="4">
        <f ca="1" xml:space="preserve">  Financials!AE$13</f>
        <v>8413056.4745804574</v>
      </c>
      <c r="AF9" s="4">
        <f ca="1" xml:space="preserve">  Financials!AF$13</f>
        <v>8755744.0039493926</v>
      </c>
      <c r="AG9" s="4">
        <f ca="1" xml:space="preserve">  Financials!AG$13</f>
        <v>8329011.129965825</v>
      </c>
      <c r="AH9" s="4">
        <f ca="1" xml:space="preserve">  Financials!AH$13</f>
        <v>10278157.193556726</v>
      </c>
      <c r="AI9" s="4">
        <f ca="1" xml:space="preserve">  Financials!AI$13</f>
        <v>10622427.227291511</v>
      </c>
      <c r="AJ9" s="4">
        <f ca="1" xml:space="preserve">  Financials!AJ$13</f>
        <v>10927461.114585085</v>
      </c>
      <c r="AK9" s="4">
        <f ca="1" xml:space="preserve">  Financials!AK$13</f>
        <v>10539192.102519272</v>
      </c>
      <c r="AL9" s="4">
        <f ca="1" xml:space="preserve">  Financials!AL$13</f>
        <v>11613712.802068811</v>
      </c>
      <c r="AM9" s="4">
        <f ca="1" xml:space="preserve">  Financials!AM$13</f>
        <v>12151204.616155239</v>
      </c>
      <c r="AN9" s="4">
        <f ca="1" xml:space="preserve">  Financials!AN$13</f>
        <v>12885600.038111474</v>
      </c>
      <c r="AO9" s="4">
        <f ca="1" xml:space="preserve">  Financials!AO$13</f>
        <v>13096984.831451703</v>
      </c>
      <c r="AP9" s="4">
        <f ca="1" xml:space="preserve">  Financials!AP$13</f>
        <v>13482662.303804016</v>
      </c>
      <c r="AQ9" s="4">
        <f ca="1" xml:space="preserve">  Financials!AQ$13</f>
        <v>14036695.259712268</v>
      </c>
      <c r="AR9" s="4">
        <f ca="1" xml:space="preserve">  Financials!AR$13</f>
        <v>15492636.135125874</v>
      </c>
      <c r="AS9" s="4">
        <f ca="1" xml:space="preserve">  Financials!AS$13</f>
        <v>15289313.001587993</v>
      </c>
      <c r="AT9" s="4">
        <f ca="1" xml:space="preserve">  Financials!AT$13</f>
        <v>17318995.400375046</v>
      </c>
      <c r="AU9" s="4">
        <f ca="1" xml:space="preserve">  Financials!AU$13</f>
        <v>19378657.180336289</v>
      </c>
      <c r="AV9" s="4">
        <f ca="1" xml:space="preserve">  Financials!AV$13</f>
        <v>20035854.700380128</v>
      </c>
      <c r="AW9" s="4">
        <f ca="1" xml:space="preserve">  Financials!AW$13</f>
        <v>20534671.253194194</v>
      </c>
      <c r="AX9" s="4">
        <f ca="1" xml:space="preserve">  Financials!AX$13</f>
        <v>24138627.817100395</v>
      </c>
      <c r="AY9" s="4">
        <f ca="1" xml:space="preserve">  Financials!AY$13</f>
        <v>24927166.384974305</v>
      </c>
      <c r="AZ9" s="4">
        <f ca="1" xml:space="preserve">  Financials!AZ$13</f>
        <v>29039229.424874354</v>
      </c>
      <c r="BA9" s="4">
        <f ca="1" xml:space="preserve">  Financials!BA$13</f>
        <v>32348710.391419355</v>
      </c>
      <c r="BB9" s="4">
        <f ca="1" xml:space="preserve">  Financials!BB$13</f>
        <v>34263452.75993482</v>
      </c>
      <c r="BC9" s="4">
        <f ca="1" xml:space="preserve">  Financials!BC$13</f>
        <v>39027112.172513455</v>
      </c>
      <c r="BD9" s="4">
        <f ca="1" xml:space="preserve">  Financials!BD$13</f>
        <v>43603968.545262851</v>
      </c>
      <c r="BE9" s="4">
        <f ca="1" xml:space="preserve">  Financials!BE$13</f>
        <v>45603976.907935813</v>
      </c>
      <c r="BF9" s="4">
        <f ca="1" xml:space="preserve">  Financials!BF$13</f>
        <v>50903420.819390401</v>
      </c>
      <c r="BG9" s="4">
        <f ca="1" xml:space="preserve">  Financials!BG$13</f>
        <v>56819624.399427071</v>
      </c>
      <c r="BH9" s="4">
        <f ca="1" xml:space="preserve">  Financials!BH$13</f>
        <v>59497763.603100367</v>
      </c>
      <c r="BI9" s="4">
        <f ca="1" xml:space="preserve">  Financials!BI$13</f>
        <v>58667779.217042223</v>
      </c>
      <c r="BJ9" s="4">
        <f ca="1" xml:space="preserve">  Financials!BJ$13</f>
        <v>65896571.923300467</v>
      </c>
      <c r="BK9" s="4">
        <f ca="1" xml:space="preserve">  Financials!BK$13</f>
        <v>68975317.157275334</v>
      </c>
      <c r="BL9" s="4">
        <f ca="1" xml:space="preserve">  Financials!BL$13</f>
        <v>77553340.110263273</v>
      </c>
      <c r="BM9" s="4">
        <f ca="1" xml:space="preserve">  Financials!BM$13</f>
        <v>85052108.092245489</v>
      </c>
      <c r="BN9" s="4">
        <f ca="1" xml:space="preserve">  Financials!BN$13</f>
        <v>89496561.020795286</v>
      </c>
      <c r="BO9" s="4">
        <f ca="1" xml:space="preserve">  Financials!BO$13</f>
        <v>99184293.256211728</v>
      </c>
      <c r="BP9" s="4">
        <f ca="1" xml:space="preserve">  Financials!BP$13</f>
        <v>108538579.20224711</v>
      </c>
      <c r="BQ9" s="4">
        <f ca="1" xml:space="preserve">  Financials!BQ$13</f>
        <v>114153158.88072786</v>
      </c>
    </row>
    <row r="10" spans="1:69" outlineLevel="1">
      <c r="A10" s="34"/>
      <c r="B10" s="34"/>
      <c r="C10" s="64"/>
      <c r="D10" s="65"/>
      <c r="E10" s="21" t="s">
        <v>59</v>
      </c>
      <c r="F10" s="3">
        <f ca="1" xml:space="preserve">  MIN( $J9:$BQ9 )</f>
        <v>-65340</v>
      </c>
      <c r="G10" s="21" t="s">
        <v>258</v>
      </c>
      <c r="M10" s="2"/>
    </row>
    <row r="13" spans="1:69">
      <c r="B13" s="25" t="s">
        <v>271</v>
      </c>
    </row>
  </sheetData>
  <conditionalFormatting sqref="F3">
    <cfRule type="cellIs" dxfId="320" priority="13" stopIfTrue="1" operator="notEqual">
      <formula>0</formula>
    </cfRule>
    <cfRule type="cellIs" dxfId="319" priority="14" stopIfTrue="1" operator="equal">
      <formula>""</formula>
    </cfRule>
  </conditionalFormatting>
  <conditionalFormatting sqref="J3:BQ3">
    <cfRule type="cellIs" dxfId="318" priority="11" stopIfTrue="1" operator="equal">
      <formula>"Construction"</formula>
    </cfRule>
    <cfRule type="cellIs" dxfId="317" priority="12" stopIfTrue="1" operator="equal">
      <formula>"Operations"</formula>
    </cfRule>
  </conditionalFormatting>
  <conditionalFormatting sqref="J3:BQ3">
    <cfRule type="cellIs" dxfId="316" priority="10" operator="equal">
      <formula>"Fin Close"</formula>
    </cfRule>
  </conditionalFormatting>
  <conditionalFormatting sqref="J3:BQ3">
    <cfRule type="cellIs" dxfId="315" priority="8" operator="equal">
      <formula>"PPA ext."</formula>
    </cfRule>
    <cfRule type="cellIs" dxfId="314" priority="9" operator="equal">
      <formula>"Delay"</formula>
    </cfRule>
  </conditionalFormatting>
  <conditionalFormatting sqref="F2">
    <cfRule type="cellIs" dxfId="313" priority="1" stopIfTrue="1" operator="notEqual">
      <formula>0</formula>
    </cfRule>
    <cfRule type="cellIs" dxfId="312"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66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59" width="13.21875" style="47" bestFit="1" customWidth="1"/>
    <col min="60" max="69" width="14.4414062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Financials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320</v>
      </c>
    </row>
    <row r="9" spans="1:69" s="82" customFormat="1">
      <c r="A9" s="59"/>
      <c r="B9" s="59"/>
      <c r="C9" s="87"/>
      <c r="D9" s="84"/>
      <c r="E9" s="40" t="str">
        <f xml:space="preserve">  InpC!E$48</f>
        <v>Opening Cash</v>
      </c>
      <c r="F9" s="40">
        <f xml:space="preserve">  InpC!F$48</f>
        <v>0</v>
      </c>
      <c r="G9" s="40" t="str">
        <f xml:space="preserve">  InpC!G$48</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307</v>
      </c>
      <c r="G11" s="47" t="s">
        <v>258</v>
      </c>
      <c r="J11" s="2">
        <f t="shared" ref="J11:BQ11" si="0" xml:space="preserve">  I13</f>
        <v>0</v>
      </c>
      <c r="K11" s="2">
        <f t="shared" ca="1" si="0"/>
        <v>-65340</v>
      </c>
      <c r="L11" s="2">
        <f t="shared" ca="1" si="0"/>
        <v>71320</v>
      </c>
      <c r="M11" s="2">
        <f t="shared" ca="1" si="0"/>
        <v>193176.66666666663</v>
      </c>
      <c r="N11" s="2">
        <f t="shared" ca="1" si="0"/>
        <v>485520.54065655801</v>
      </c>
      <c r="O11" s="2">
        <f t="shared" ca="1" si="0"/>
        <v>744475.49392885691</v>
      </c>
      <c r="P11" s="2">
        <f t="shared" ca="1" si="0"/>
        <v>1332026.2822021695</v>
      </c>
      <c r="Q11" s="2">
        <f t="shared" ca="1" si="0"/>
        <v>1614348.9419903029</v>
      </c>
      <c r="R11" s="2">
        <f t="shared" ca="1" si="0"/>
        <v>1872187.0585899514</v>
      </c>
      <c r="S11" s="2">
        <f t="shared" ca="1" si="0"/>
        <v>1906847.9353443733</v>
      </c>
      <c r="T11" s="2">
        <f t="shared" ca="1" si="0"/>
        <v>2069733.9779660082</v>
      </c>
      <c r="U11" s="2">
        <f t="shared" ca="1" si="0"/>
        <v>1943782.0255325965</v>
      </c>
      <c r="V11" s="2">
        <f t="shared" ca="1" si="0"/>
        <v>1957540.9211432522</v>
      </c>
      <c r="W11" s="2">
        <f t="shared" ca="1" si="0"/>
        <v>3371414.3072090307</v>
      </c>
      <c r="X11" s="2">
        <f t="shared" ca="1" si="0"/>
        <v>3341287.6750310166</v>
      </c>
      <c r="Y11" s="2">
        <f t="shared" ca="1" si="0"/>
        <v>4242935.1976549812</v>
      </c>
      <c r="Z11" s="2">
        <f t="shared" ca="1" si="0"/>
        <v>5289249.8100747652</v>
      </c>
      <c r="AA11" s="2">
        <f t="shared" ca="1" si="0"/>
        <v>5878606.5808998188</v>
      </c>
      <c r="AB11" s="2">
        <f t="shared" ca="1" si="0"/>
        <v>7090626.989580051</v>
      </c>
      <c r="AC11" s="2">
        <f t="shared" ca="1" si="0"/>
        <v>7379084.5286071366</v>
      </c>
      <c r="AD11" s="2">
        <f t="shared" ca="1" si="0"/>
        <v>7636516.3688325454</v>
      </c>
      <c r="AE11" s="2">
        <f t="shared" ca="1" si="0"/>
        <v>8109084.5977086704</v>
      </c>
      <c r="AF11" s="2">
        <f t="shared" ca="1" si="0"/>
        <v>8413056.4745804574</v>
      </c>
      <c r="AG11" s="2">
        <f t="shared" ca="1" si="0"/>
        <v>8755744.0039493926</v>
      </c>
      <c r="AH11" s="2">
        <f t="shared" ca="1" si="0"/>
        <v>8329011.129965825</v>
      </c>
      <c r="AI11" s="2">
        <f t="shared" ca="1" si="0"/>
        <v>10278157.193556726</v>
      </c>
      <c r="AJ11" s="2">
        <f t="shared" ca="1" si="0"/>
        <v>10622427.227291511</v>
      </c>
      <c r="AK11" s="2">
        <f t="shared" ca="1" si="0"/>
        <v>10927461.114585085</v>
      </c>
      <c r="AL11" s="2">
        <f t="shared" ca="1" si="0"/>
        <v>10539192.102519272</v>
      </c>
      <c r="AM11" s="2">
        <f t="shared" ca="1" si="0"/>
        <v>11613712.802068811</v>
      </c>
      <c r="AN11" s="2">
        <f t="shared" ca="1" si="0"/>
        <v>12151204.616155239</v>
      </c>
      <c r="AO11" s="2">
        <f t="shared" ca="1" si="0"/>
        <v>12885600.038111474</v>
      </c>
      <c r="AP11" s="2">
        <f t="shared" ca="1" si="0"/>
        <v>13096984.831451703</v>
      </c>
      <c r="AQ11" s="2">
        <f t="shared" ca="1" si="0"/>
        <v>13482662.303804016</v>
      </c>
      <c r="AR11" s="2">
        <f t="shared" ca="1" si="0"/>
        <v>14036695.259712268</v>
      </c>
      <c r="AS11" s="2">
        <f t="shared" ca="1" si="0"/>
        <v>15492636.135125874</v>
      </c>
      <c r="AT11" s="2">
        <f t="shared" ca="1" si="0"/>
        <v>15289313.001587993</v>
      </c>
      <c r="AU11" s="2">
        <f t="shared" ca="1" si="0"/>
        <v>17318995.400375046</v>
      </c>
      <c r="AV11" s="2">
        <f t="shared" ca="1" si="0"/>
        <v>19378657.180336289</v>
      </c>
      <c r="AW11" s="2">
        <f t="shared" ca="1" si="0"/>
        <v>20035854.700380128</v>
      </c>
      <c r="AX11" s="2">
        <f t="shared" ca="1" si="0"/>
        <v>20534671.253194194</v>
      </c>
      <c r="AY11" s="2">
        <f t="shared" ca="1" si="0"/>
        <v>24138627.817100395</v>
      </c>
      <c r="AZ11" s="2">
        <f t="shared" ca="1" si="0"/>
        <v>24927166.384974305</v>
      </c>
      <c r="BA11" s="2">
        <f t="shared" ca="1" si="0"/>
        <v>29039229.424874354</v>
      </c>
      <c r="BB11" s="2">
        <f t="shared" ca="1" si="0"/>
        <v>32348710.391419355</v>
      </c>
      <c r="BC11" s="2">
        <f t="shared" ca="1" si="0"/>
        <v>34263452.75993482</v>
      </c>
      <c r="BD11" s="2">
        <f t="shared" ca="1" si="0"/>
        <v>39027112.172513455</v>
      </c>
      <c r="BE11" s="2">
        <f t="shared" ca="1" si="0"/>
        <v>43603968.545262851</v>
      </c>
      <c r="BF11" s="2">
        <f t="shared" ca="1" si="0"/>
        <v>45603976.907935813</v>
      </c>
      <c r="BG11" s="2">
        <f t="shared" ca="1" si="0"/>
        <v>50903420.819390401</v>
      </c>
      <c r="BH11" s="2">
        <f t="shared" ca="1" si="0"/>
        <v>56819624.399427071</v>
      </c>
      <c r="BI11" s="2">
        <f t="shared" ca="1" si="0"/>
        <v>59497763.603100367</v>
      </c>
      <c r="BJ11" s="2">
        <f t="shared" ca="1" si="0"/>
        <v>58667779.217042223</v>
      </c>
      <c r="BK11" s="2">
        <f t="shared" ca="1" si="0"/>
        <v>65896571.923300467</v>
      </c>
      <c r="BL11" s="2">
        <f t="shared" ca="1" si="0"/>
        <v>68975317.157275334</v>
      </c>
      <c r="BM11" s="2">
        <f t="shared" ca="1" si="0"/>
        <v>77553340.110263273</v>
      </c>
      <c r="BN11" s="2">
        <f t="shared" ca="1" si="0"/>
        <v>85052108.092245489</v>
      </c>
      <c r="BO11" s="2">
        <f t="shared" ca="1" si="0"/>
        <v>89496561.020795286</v>
      </c>
      <c r="BP11" s="2">
        <f t="shared" ca="1" si="0"/>
        <v>99184293.256211728</v>
      </c>
      <c r="BQ11" s="2">
        <f t="shared" ca="1" si="0"/>
        <v>108538579.20224711</v>
      </c>
    </row>
    <row r="12" spans="1:69">
      <c r="A12" s="18"/>
      <c r="B12" s="18"/>
      <c r="C12" s="28"/>
      <c r="D12" s="27" t="s">
        <v>219</v>
      </c>
      <c r="E12" s="4" t="str">
        <f xml:space="preserve">  Cashflow!E$29</f>
        <v>Net Cashflow</v>
      </c>
      <c r="F12" s="4">
        <f xml:space="preserve">  Cashflow!F$29</f>
        <v>0</v>
      </c>
      <c r="G12" s="4" t="str">
        <f xml:space="preserve">  Cashflow!G$29</f>
        <v>GBP</v>
      </c>
      <c r="H12" s="4">
        <f ca="1" xml:space="preserve">  Cashflow!H$29</f>
        <v>114153158.88072786</v>
      </c>
      <c r="I12" s="4">
        <f xml:space="preserve">  Cashflow!I$29</f>
        <v>0</v>
      </c>
      <c r="J12" s="4">
        <f ca="1" xml:space="preserve">  Cashflow!J$29</f>
        <v>-65340</v>
      </c>
      <c r="K12" s="4">
        <f ca="1" xml:space="preserve">  Cashflow!K$29</f>
        <v>136660</v>
      </c>
      <c r="L12" s="4">
        <f ca="1" xml:space="preserve">  Cashflow!L$29</f>
        <v>121856.66666666663</v>
      </c>
      <c r="M12" s="4">
        <f ca="1" xml:space="preserve">  Cashflow!M$29</f>
        <v>292343.87398989138</v>
      </c>
      <c r="N12" s="4">
        <f ca="1" xml:space="preserve">  Cashflow!N$29</f>
        <v>258954.95327229885</v>
      </c>
      <c r="O12" s="4">
        <f ca="1" xml:space="preserve">  Cashflow!O$29</f>
        <v>587550.78827331262</v>
      </c>
      <c r="P12" s="4">
        <f ca="1" xml:space="preserve">  Cashflow!P$29</f>
        <v>282322.65978813334</v>
      </c>
      <c r="Q12" s="4">
        <f ca="1" xml:space="preserve">  Cashflow!Q$29</f>
        <v>257838.11659964841</v>
      </c>
      <c r="R12" s="4">
        <f ca="1" xml:space="preserve">  Cashflow!R$29</f>
        <v>34660.876754421857</v>
      </c>
      <c r="S12" s="4">
        <f ca="1" xml:space="preserve">  Cashflow!S$29</f>
        <v>162886.04262163484</v>
      </c>
      <c r="T12" s="4">
        <f ca="1" xml:space="preserve">  Cashflow!T$29</f>
        <v>-125951.95243341167</v>
      </c>
      <c r="U12" s="4">
        <f ca="1" xml:space="preserve">  Cashflow!U$29</f>
        <v>13758.895610655658</v>
      </c>
      <c r="V12" s="4">
        <f ca="1" xml:space="preserve">  Cashflow!V$29</f>
        <v>1413873.3860657788</v>
      </c>
      <c r="W12" s="4">
        <f ca="1" xml:space="preserve">  Cashflow!W$29</f>
        <v>-30126.632178014144</v>
      </c>
      <c r="X12" s="4">
        <f ca="1" xml:space="preserve">  Cashflow!X$29</f>
        <v>901647.52262396493</v>
      </c>
      <c r="Y12" s="4">
        <f ca="1" xml:space="preserve">  Cashflow!Y$29</f>
        <v>1046314.6124197841</v>
      </c>
      <c r="Z12" s="4">
        <f ca="1" xml:space="preserve">  Cashflow!Z$29</f>
        <v>589356.77082505357</v>
      </c>
      <c r="AA12" s="4">
        <f ca="1" xml:space="preserve">  Cashflow!AA$29</f>
        <v>1212020.4086802325</v>
      </c>
      <c r="AB12" s="4">
        <f ca="1" xml:space="preserve">  Cashflow!AB$29</f>
        <v>288457.53902708529</v>
      </c>
      <c r="AC12" s="4">
        <f ca="1" xml:space="preserve">  Cashflow!AC$29</f>
        <v>257431.84022540922</v>
      </c>
      <c r="AD12" s="4">
        <f ca="1" xml:space="preserve">  Cashflow!AD$29</f>
        <v>472568.22887612501</v>
      </c>
      <c r="AE12" s="4">
        <f ca="1" xml:space="preserve">  Cashflow!AE$29</f>
        <v>303971.87687178724</v>
      </c>
      <c r="AF12" s="4">
        <f ca="1" xml:space="preserve">  Cashflow!AF$29</f>
        <v>342687.52936893562</v>
      </c>
      <c r="AG12" s="4">
        <f ca="1" xml:space="preserve">  Cashflow!AG$29</f>
        <v>-426732.87398356723</v>
      </c>
      <c r="AH12" s="4">
        <f ca="1" xml:space="preserve">  Cashflow!AH$29</f>
        <v>1949146.0635909005</v>
      </c>
      <c r="AI12" s="4">
        <f ca="1" xml:space="preserve">  Cashflow!AI$29</f>
        <v>344270.03373478586</v>
      </c>
      <c r="AJ12" s="4">
        <f ca="1" xml:space="preserve">  Cashflow!AJ$29</f>
        <v>305033.88729357335</v>
      </c>
      <c r="AK12" s="4">
        <f ca="1" xml:space="preserve">  Cashflow!AK$29</f>
        <v>-388269.01206581341</v>
      </c>
      <c r="AL12" s="4">
        <f ca="1" xml:space="preserve">  Cashflow!AL$29</f>
        <v>1074520.6995495399</v>
      </c>
      <c r="AM12" s="4">
        <f ca="1" xml:space="preserve">  Cashflow!AM$29</f>
        <v>537491.81408642721</v>
      </c>
      <c r="AN12" s="4">
        <f ca="1" xml:space="preserve">  Cashflow!AN$29</f>
        <v>734395.42195623601</v>
      </c>
      <c r="AO12" s="4">
        <f ca="1" xml:space="preserve">  Cashflow!AO$29</f>
        <v>211384.79334022786</v>
      </c>
      <c r="AP12" s="4">
        <f ca="1" xml:space="preserve">  Cashflow!AP$29</f>
        <v>385677.47235231352</v>
      </c>
      <c r="AQ12" s="4">
        <f ca="1" xml:space="preserve">  Cashflow!AQ$29</f>
        <v>554032.95590825169</v>
      </c>
      <c r="AR12" s="4">
        <f ca="1" xml:space="preserve">  Cashflow!AR$29</f>
        <v>1455940.8754136055</v>
      </c>
      <c r="AS12" s="4">
        <f ca="1" xml:space="preserve">  Cashflow!AS$29</f>
        <v>-203323.13353788183</v>
      </c>
      <c r="AT12" s="4">
        <f ca="1" xml:space="preserve">  Cashflow!AT$29</f>
        <v>2029682.3987870535</v>
      </c>
      <c r="AU12" s="4">
        <f ca="1" xml:space="preserve">  Cashflow!AU$29</f>
        <v>2059661.7799612428</v>
      </c>
      <c r="AV12" s="4">
        <f ca="1" xml:space="preserve">  Cashflow!AV$29</f>
        <v>657197.52004384005</v>
      </c>
      <c r="AW12" s="4">
        <f ca="1" xml:space="preserve">  Cashflow!AW$29</f>
        <v>498816.55281406769</v>
      </c>
      <c r="AX12" s="4">
        <f ca="1" xml:space="preserve">  Cashflow!AX$29</f>
        <v>3603956.5639062012</v>
      </c>
      <c r="AY12" s="4">
        <f ca="1" xml:space="preserve">  Cashflow!AY$29</f>
        <v>788538.56787391123</v>
      </c>
      <c r="AZ12" s="4">
        <f ca="1" xml:space="preserve">  Cashflow!AZ$29</f>
        <v>4112063.0399000496</v>
      </c>
      <c r="BA12" s="4">
        <f ca="1" xml:space="preserve">  Cashflow!BA$29</f>
        <v>3309480.9665450007</v>
      </c>
      <c r="BB12" s="4">
        <f ca="1" xml:space="preserve">  Cashflow!BB$29</f>
        <v>1914742.3685154635</v>
      </c>
      <c r="BC12" s="4">
        <f ca="1" xml:space="preserve">  Cashflow!BC$29</f>
        <v>4763659.4125786349</v>
      </c>
      <c r="BD12" s="4">
        <f ca="1" xml:space="preserve">  Cashflow!BD$29</f>
        <v>4576856.3727493985</v>
      </c>
      <c r="BE12" s="4">
        <f ca="1" xml:space="preserve">  Cashflow!BE$29</f>
        <v>2000008.3626729653</v>
      </c>
      <c r="BF12" s="4">
        <f ca="1" xml:space="preserve">  Cashflow!BF$29</f>
        <v>5299443.9114545891</v>
      </c>
      <c r="BG12" s="4">
        <f ca="1" xml:space="preserve">  Cashflow!BG$29</f>
        <v>5916203.5800366709</v>
      </c>
      <c r="BH12" s="4">
        <f ca="1" xml:space="preserve">  Cashflow!BH$29</f>
        <v>2678139.2036732929</v>
      </c>
      <c r="BI12" s="4">
        <f ca="1" xml:space="preserve">  Cashflow!BI$29</f>
        <v>-829984.38605814136</v>
      </c>
      <c r="BJ12" s="4">
        <f ca="1" xml:space="preserve">  Cashflow!BJ$29</f>
        <v>7228792.7062582448</v>
      </c>
      <c r="BK12" s="4">
        <f ca="1" xml:space="preserve">  Cashflow!BK$29</f>
        <v>3078745.2339748736</v>
      </c>
      <c r="BL12" s="4">
        <f ca="1" xml:space="preserve">  Cashflow!BL$29</f>
        <v>8578022.9529879373</v>
      </c>
      <c r="BM12" s="4">
        <f ca="1" xml:space="preserve">  Cashflow!BM$29</f>
        <v>7498767.9819822107</v>
      </c>
      <c r="BN12" s="4">
        <f ca="1" xml:space="preserve">  Cashflow!BN$29</f>
        <v>4444452.9285497973</v>
      </c>
      <c r="BO12" s="4">
        <f ca="1" xml:space="preserve">  Cashflow!BO$29</f>
        <v>9687732.2354164422</v>
      </c>
      <c r="BP12" s="4">
        <f ca="1" xml:space="preserve">  Cashflow!BP$29</f>
        <v>9354285.9460353851</v>
      </c>
      <c r="BQ12" s="4">
        <f ca="1" xml:space="preserve">  Cashflow!BQ$29</f>
        <v>5614579.6784807472</v>
      </c>
    </row>
    <row r="13" spans="1:69" s="81" customFormat="1">
      <c r="A13" s="63"/>
      <c r="B13" s="63"/>
      <c r="C13" s="88"/>
      <c r="D13" s="90"/>
      <c r="E13" s="33" t="s">
        <v>320</v>
      </c>
      <c r="F13" s="33"/>
      <c r="G13" s="33" t="s">
        <v>258</v>
      </c>
      <c r="H13" s="33"/>
      <c r="I13" s="11">
        <f t="shared" ref="I13:BQ13" si="1" xml:space="preserve">  IF( I10 = 0, $F9, I11 + I12 )</f>
        <v>0</v>
      </c>
      <c r="J13" s="11">
        <f t="shared" ca="1" si="1"/>
        <v>-65340</v>
      </c>
      <c r="K13" s="11">
        <f t="shared" ca="1" si="1"/>
        <v>71320</v>
      </c>
      <c r="L13" s="11">
        <f t="shared" ca="1" si="1"/>
        <v>193176.66666666663</v>
      </c>
      <c r="M13" s="11">
        <f t="shared" ca="1" si="1"/>
        <v>485520.54065655801</v>
      </c>
      <c r="N13" s="11">
        <f t="shared" ca="1" si="1"/>
        <v>744475.49392885691</v>
      </c>
      <c r="O13" s="11">
        <f t="shared" ca="1" si="1"/>
        <v>1332026.2822021695</v>
      </c>
      <c r="P13" s="11">
        <f t="shared" ca="1" si="1"/>
        <v>1614348.9419903029</v>
      </c>
      <c r="Q13" s="11">
        <f t="shared" ca="1" si="1"/>
        <v>1872187.0585899514</v>
      </c>
      <c r="R13" s="11">
        <f t="shared" ca="1" si="1"/>
        <v>1906847.9353443733</v>
      </c>
      <c r="S13" s="11">
        <f t="shared" ca="1" si="1"/>
        <v>2069733.9779660082</v>
      </c>
      <c r="T13" s="11">
        <f t="shared" ca="1" si="1"/>
        <v>1943782.0255325965</v>
      </c>
      <c r="U13" s="11">
        <f t="shared" ca="1" si="1"/>
        <v>1957540.9211432522</v>
      </c>
      <c r="V13" s="11">
        <f t="shared" ca="1" si="1"/>
        <v>3371414.3072090307</v>
      </c>
      <c r="W13" s="11">
        <f t="shared" ca="1" si="1"/>
        <v>3341287.6750310166</v>
      </c>
      <c r="X13" s="11">
        <f t="shared" ca="1" si="1"/>
        <v>4242935.1976549812</v>
      </c>
      <c r="Y13" s="11">
        <f t="shared" ca="1" si="1"/>
        <v>5289249.8100747652</v>
      </c>
      <c r="Z13" s="11">
        <f t="shared" ca="1" si="1"/>
        <v>5878606.5808998188</v>
      </c>
      <c r="AA13" s="11">
        <f t="shared" ca="1" si="1"/>
        <v>7090626.989580051</v>
      </c>
      <c r="AB13" s="11">
        <f t="shared" ca="1" si="1"/>
        <v>7379084.5286071366</v>
      </c>
      <c r="AC13" s="11">
        <f t="shared" ca="1" si="1"/>
        <v>7636516.3688325454</v>
      </c>
      <c r="AD13" s="11">
        <f t="shared" ca="1" si="1"/>
        <v>8109084.5977086704</v>
      </c>
      <c r="AE13" s="11">
        <f t="shared" ca="1" si="1"/>
        <v>8413056.4745804574</v>
      </c>
      <c r="AF13" s="11">
        <f t="shared" ca="1" si="1"/>
        <v>8755744.0039493926</v>
      </c>
      <c r="AG13" s="11">
        <f t="shared" ca="1" si="1"/>
        <v>8329011.129965825</v>
      </c>
      <c r="AH13" s="11">
        <f t="shared" ca="1" si="1"/>
        <v>10278157.193556726</v>
      </c>
      <c r="AI13" s="11">
        <f t="shared" ca="1" si="1"/>
        <v>10622427.227291511</v>
      </c>
      <c r="AJ13" s="11">
        <f t="shared" ca="1" si="1"/>
        <v>10927461.114585085</v>
      </c>
      <c r="AK13" s="11">
        <f t="shared" ca="1" si="1"/>
        <v>10539192.102519272</v>
      </c>
      <c r="AL13" s="11">
        <f t="shared" ca="1" si="1"/>
        <v>11613712.802068811</v>
      </c>
      <c r="AM13" s="11">
        <f t="shared" ca="1" si="1"/>
        <v>12151204.616155239</v>
      </c>
      <c r="AN13" s="11">
        <f t="shared" ca="1" si="1"/>
        <v>12885600.038111474</v>
      </c>
      <c r="AO13" s="11">
        <f t="shared" ca="1" si="1"/>
        <v>13096984.831451703</v>
      </c>
      <c r="AP13" s="11">
        <f t="shared" ca="1" si="1"/>
        <v>13482662.303804016</v>
      </c>
      <c r="AQ13" s="11">
        <f t="shared" ca="1" si="1"/>
        <v>14036695.259712268</v>
      </c>
      <c r="AR13" s="11">
        <f t="shared" ca="1" si="1"/>
        <v>15492636.135125874</v>
      </c>
      <c r="AS13" s="11">
        <f t="shared" ca="1" si="1"/>
        <v>15289313.001587993</v>
      </c>
      <c r="AT13" s="11">
        <f t="shared" ca="1" si="1"/>
        <v>17318995.400375046</v>
      </c>
      <c r="AU13" s="11">
        <f t="shared" ca="1" si="1"/>
        <v>19378657.180336289</v>
      </c>
      <c r="AV13" s="11">
        <f t="shared" ca="1" si="1"/>
        <v>20035854.700380128</v>
      </c>
      <c r="AW13" s="11">
        <f t="shared" ca="1" si="1"/>
        <v>20534671.253194194</v>
      </c>
      <c r="AX13" s="11">
        <f t="shared" ca="1" si="1"/>
        <v>24138627.817100395</v>
      </c>
      <c r="AY13" s="11">
        <f t="shared" ca="1" si="1"/>
        <v>24927166.384974305</v>
      </c>
      <c r="AZ13" s="11">
        <f t="shared" ca="1" si="1"/>
        <v>29039229.424874354</v>
      </c>
      <c r="BA13" s="11">
        <f t="shared" ca="1" si="1"/>
        <v>32348710.391419355</v>
      </c>
      <c r="BB13" s="11">
        <f t="shared" ca="1" si="1"/>
        <v>34263452.75993482</v>
      </c>
      <c r="BC13" s="11">
        <f t="shared" ca="1" si="1"/>
        <v>39027112.172513455</v>
      </c>
      <c r="BD13" s="11">
        <f t="shared" ca="1" si="1"/>
        <v>43603968.545262851</v>
      </c>
      <c r="BE13" s="11">
        <f t="shared" ca="1" si="1"/>
        <v>45603976.907935813</v>
      </c>
      <c r="BF13" s="11">
        <f t="shared" ca="1" si="1"/>
        <v>50903420.819390401</v>
      </c>
      <c r="BG13" s="11">
        <f t="shared" ca="1" si="1"/>
        <v>56819624.399427071</v>
      </c>
      <c r="BH13" s="11">
        <f t="shared" ca="1" si="1"/>
        <v>59497763.603100367</v>
      </c>
      <c r="BI13" s="11">
        <f t="shared" ca="1" si="1"/>
        <v>58667779.217042223</v>
      </c>
      <c r="BJ13" s="11">
        <f t="shared" ca="1" si="1"/>
        <v>65896571.923300467</v>
      </c>
      <c r="BK13" s="11">
        <f t="shared" ca="1" si="1"/>
        <v>68975317.157275334</v>
      </c>
      <c r="BL13" s="11">
        <f t="shared" ca="1" si="1"/>
        <v>77553340.110263273</v>
      </c>
      <c r="BM13" s="11">
        <f t="shared" ca="1" si="1"/>
        <v>85052108.092245489</v>
      </c>
      <c r="BN13" s="11">
        <f t="shared" ca="1" si="1"/>
        <v>89496561.020795286</v>
      </c>
      <c r="BO13" s="11">
        <f t="shared" ca="1" si="1"/>
        <v>99184293.256211728</v>
      </c>
      <c r="BP13" s="11">
        <f t="shared" ca="1" si="1"/>
        <v>108538579.20224711</v>
      </c>
      <c r="BQ13" s="11">
        <f t="shared" ca="1" si="1"/>
        <v>114153158.88072786</v>
      </c>
    </row>
    <row r="15" spans="1:69">
      <c r="B15" s="25" t="s">
        <v>321</v>
      </c>
    </row>
    <row r="16" spans="1:69" outlineLevel="1">
      <c r="A16" s="18"/>
      <c r="B16" s="18"/>
      <c r="C16" s="28"/>
      <c r="D16" s="27"/>
      <c r="E16" s="4" t="str">
        <f xml:space="preserve">  InpC!E$34</f>
        <v>Supplier price per unit</v>
      </c>
      <c r="F16" s="4">
        <f xml:space="preserve">  InpC!F$34</f>
        <v>35</v>
      </c>
      <c r="G16" s="4" t="str">
        <f xml:space="preserve">  InpC!G$34</f>
        <v>GBP</v>
      </c>
      <c r="M16" s="2"/>
    </row>
    <row r="17" spans="1:69" outlineLevel="1">
      <c r="A17" s="18"/>
      <c r="B17" s="18"/>
      <c r="C17" s="28"/>
      <c r="D17" s="27"/>
      <c r="E17" s="4" t="str">
        <f xml:space="preserve">  Inventory!E$33</f>
        <v>Units ordered</v>
      </c>
      <c r="F17" s="4">
        <f xml:space="preserve">  Inventory!F$33</f>
        <v>0</v>
      </c>
      <c r="G17" s="4" t="str">
        <f xml:space="preserve">  Inventory!G$33</f>
        <v>Units</v>
      </c>
      <c r="H17" s="4">
        <f ca="1" xml:space="preserve">  Inventory!H$33</f>
        <v>1640000</v>
      </c>
      <c r="I17" s="4">
        <f xml:space="preserve">  Inventory!I$33</f>
        <v>0</v>
      </c>
      <c r="J17" s="4">
        <f xml:space="preserve">  Inventory!J$33</f>
        <v>0</v>
      </c>
      <c r="K17" s="4">
        <f xml:space="preserve">  Inventory!K$33</f>
        <v>0</v>
      </c>
      <c r="L17" s="4">
        <f xml:space="preserve">  Inventory!L$33</f>
        <v>10000</v>
      </c>
      <c r="M17" s="4">
        <f xml:space="preserve">  Inventory!M$33</f>
        <v>10000</v>
      </c>
      <c r="N17" s="4">
        <f xml:space="preserve">  Inventory!N$33</f>
        <v>10000</v>
      </c>
      <c r="O17" s="4">
        <f xml:space="preserve">  Inventory!O$33</f>
        <v>0</v>
      </c>
      <c r="P17" s="4">
        <f xml:space="preserve">  Inventory!P$33</f>
        <v>10000</v>
      </c>
      <c r="Q17" s="4">
        <f xml:space="preserve">  Inventory!Q$33</f>
        <v>0</v>
      </c>
      <c r="R17" s="4">
        <f xml:space="preserve">  Inventory!R$33</f>
        <v>10000</v>
      </c>
      <c r="S17" s="4">
        <f xml:space="preserve">  Inventory!S$33</f>
        <v>0</v>
      </c>
      <c r="T17" s="4">
        <f xml:space="preserve">  Inventory!T$33</f>
        <v>0</v>
      </c>
      <c r="U17" s="4">
        <f xml:space="preserve">  Inventory!U$33</f>
        <v>0</v>
      </c>
      <c r="V17" s="4">
        <f ca="1" xml:space="preserve">  Inventory!V$33</f>
        <v>0</v>
      </c>
      <c r="W17" s="4">
        <f ca="1" xml:space="preserve">  Inventory!W$33</f>
        <v>0</v>
      </c>
      <c r="X17" s="4">
        <f ca="1" xml:space="preserve">  Inventory!X$33</f>
        <v>0</v>
      </c>
      <c r="Y17" s="4">
        <f ca="1" xml:space="preserve">  Inventory!Y$33</f>
        <v>5000</v>
      </c>
      <c r="Z17" s="4">
        <f ca="1" xml:space="preserve">  Inventory!Z$33</f>
        <v>5000</v>
      </c>
      <c r="AA17" s="4">
        <f ca="1" xml:space="preserve">  Inventory!AA$33</f>
        <v>5000</v>
      </c>
      <c r="AB17" s="4">
        <f ca="1" xml:space="preserve">  Inventory!AB$33</f>
        <v>10000</v>
      </c>
      <c r="AC17" s="4">
        <f ca="1" xml:space="preserve">  Inventory!AC$33</f>
        <v>10000</v>
      </c>
      <c r="AD17" s="4">
        <f ca="1" xml:space="preserve">  Inventory!AD$33</f>
        <v>5000</v>
      </c>
      <c r="AE17" s="4">
        <f ca="1" xml:space="preserve">  Inventory!AE$33</f>
        <v>10000</v>
      </c>
      <c r="AF17" s="4">
        <f ca="1" xml:space="preserve">  Inventory!AF$33</f>
        <v>10000</v>
      </c>
      <c r="AG17" s="4">
        <f ca="1" xml:space="preserve">  Inventory!AG$33</f>
        <v>10000</v>
      </c>
      <c r="AH17" s="4">
        <f ca="1" xml:space="preserve">  Inventory!AH$33</f>
        <v>10000</v>
      </c>
      <c r="AI17" s="4">
        <f ca="1" xml:space="preserve">  Inventory!AI$33</f>
        <v>15000</v>
      </c>
      <c r="AJ17" s="4">
        <f ca="1" xml:space="preserve">  Inventory!AJ$33</f>
        <v>10000</v>
      </c>
      <c r="AK17" s="4">
        <f ca="1" xml:space="preserve">  Inventory!AK$33</f>
        <v>15000</v>
      </c>
      <c r="AL17" s="4">
        <f ca="1" xml:space="preserve">  Inventory!AL$33</f>
        <v>15000</v>
      </c>
      <c r="AM17" s="4">
        <f ca="1" xml:space="preserve">  Inventory!AM$33</f>
        <v>15000</v>
      </c>
      <c r="AN17" s="4">
        <f ca="1" xml:space="preserve">  Inventory!AN$33</f>
        <v>20000</v>
      </c>
      <c r="AO17" s="4">
        <f ca="1" xml:space="preserve">  Inventory!AO$33</f>
        <v>20000</v>
      </c>
      <c r="AP17" s="4">
        <f ca="1" xml:space="preserve">  Inventory!AP$33</f>
        <v>20000</v>
      </c>
      <c r="AQ17" s="4">
        <f ca="1" xml:space="preserve">  Inventory!AQ$33</f>
        <v>25000</v>
      </c>
      <c r="AR17" s="4">
        <f ca="1" xml:space="preserve">  Inventory!AR$33</f>
        <v>20000</v>
      </c>
      <c r="AS17" s="4">
        <f ca="1" xml:space="preserve">  Inventory!AS$33</f>
        <v>25000</v>
      </c>
      <c r="AT17" s="4">
        <f ca="1" xml:space="preserve">  Inventory!AT$33</f>
        <v>30000</v>
      </c>
      <c r="AU17" s="4">
        <f ca="1" xml:space="preserve">  Inventory!AU$33</f>
        <v>25000</v>
      </c>
      <c r="AV17" s="4">
        <f ca="1" xml:space="preserve">  Inventory!AV$33</f>
        <v>30000</v>
      </c>
      <c r="AW17" s="4">
        <f ca="1" xml:space="preserve">  Inventory!AW$33</f>
        <v>30000</v>
      </c>
      <c r="AX17" s="4">
        <f ca="1" xml:space="preserve">  Inventory!AX$33</f>
        <v>35000</v>
      </c>
      <c r="AY17" s="4">
        <f ca="1" xml:space="preserve">  Inventory!AY$33</f>
        <v>35000</v>
      </c>
      <c r="AZ17" s="4">
        <f ca="1" xml:space="preserve">  Inventory!AZ$33</f>
        <v>35000</v>
      </c>
      <c r="BA17" s="4">
        <f ca="1" xml:space="preserve">  Inventory!BA$33</f>
        <v>40000</v>
      </c>
      <c r="BB17" s="4">
        <f ca="1" xml:space="preserve">  Inventory!BB$33</f>
        <v>40000</v>
      </c>
      <c r="BC17" s="4">
        <f ca="1" xml:space="preserve">  Inventory!BC$33</f>
        <v>45000</v>
      </c>
      <c r="BD17" s="4">
        <f ca="1" xml:space="preserve">  Inventory!BD$33</f>
        <v>45000</v>
      </c>
      <c r="BE17" s="4">
        <f ca="1" xml:space="preserve">  Inventory!BE$33</f>
        <v>50000</v>
      </c>
      <c r="BF17" s="4">
        <f ca="1" xml:space="preserve">  Inventory!BF$33</f>
        <v>50000</v>
      </c>
      <c r="BG17" s="4">
        <f ca="1" xml:space="preserve">  Inventory!BG$33</f>
        <v>55000</v>
      </c>
      <c r="BH17" s="4">
        <f ca="1" xml:space="preserve">  Inventory!BH$33</f>
        <v>60000</v>
      </c>
      <c r="BI17" s="4">
        <f ca="1" xml:space="preserve">  Inventory!BI$33</f>
        <v>60000</v>
      </c>
      <c r="BJ17" s="4">
        <f ca="1" xml:space="preserve">  Inventory!BJ$33</f>
        <v>65000</v>
      </c>
      <c r="BK17" s="4">
        <f ca="1" xml:space="preserve">  Inventory!BK$33</f>
        <v>70000</v>
      </c>
      <c r="BL17" s="4">
        <f ca="1" xml:space="preserve">  Inventory!BL$33</f>
        <v>75000</v>
      </c>
      <c r="BM17" s="4">
        <f ca="1" xml:space="preserve">  Inventory!BM$33</f>
        <v>75000</v>
      </c>
      <c r="BN17" s="4">
        <f ca="1" xml:space="preserve">  Inventory!BN$33</f>
        <v>85000</v>
      </c>
      <c r="BO17" s="4">
        <f ca="1" xml:space="preserve">  Inventory!BO$33</f>
        <v>85000</v>
      </c>
      <c r="BP17" s="4">
        <f ca="1" xml:space="preserve">  Inventory!BP$33</f>
        <v>95000</v>
      </c>
      <c r="BQ17" s="4">
        <f ca="1" xml:space="preserve">  Inventory!BQ$33</f>
        <v>95000</v>
      </c>
    </row>
    <row r="18" spans="1:69" outlineLevel="1">
      <c r="A18" s="34"/>
      <c r="B18" s="34"/>
      <c r="C18" s="64"/>
      <c r="D18" s="65"/>
      <c r="E18" s="21" t="s">
        <v>321</v>
      </c>
      <c r="F18" s="21"/>
      <c r="G18" s="21" t="s">
        <v>258</v>
      </c>
      <c r="H18" s="3">
        <f ca="1" xml:space="preserve"> SUM( J18:BQ18 )</f>
        <v>57400000</v>
      </c>
      <c r="I18" s="21"/>
      <c r="J18" s="3">
        <f t="shared" ref="J18:BQ18" si="2" xml:space="preserve">  J17 * $F16</f>
        <v>0</v>
      </c>
      <c r="K18" s="3">
        <f t="shared" si="2"/>
        <v>0</v>
      </c>
      <c r="L18" s="3">
        <f t="shared" si="2"/>
        <v>350000</v>
      </c>
      <c r="M18" s="3">
        <f t="shared" si="2"/>
        <v>350000</v>
      </c>
      <c r="N18" s="3">
        <f t="shared" si="2"/>
        <v>350000</v>
      </c>
      <c r="O18" s="3">
        <f t="shared" si="2"/>
        <v>0</v>
      </c>
      <c r="P18" s="3">
        <f t="shared" si="2"/>
        <v>350000</v>
      </c>
      <c r="Q18" s="3">
        <f t="shared" si="2"/>
        <v>0</v>
      </c>
      <c r="R18" s="3">
        <f t="shared" si="2"/>
        <v>350000</v>
      </c>
      <c r="S18" s="3">
        <f t="shared" si="2"/>
        <v>0</v>
      </c>
      <c r="T18" s="3">
        <f t="shared" si="2"/>
        <v>0</v>
      </c>
      <c r="U18" s="3">
        <f t="shared" si="2"/>
        <v>0</v>
      </c>
      <c r="V18" s="3">
        <f t="shared" ca="1" si="2"/>
        <v>0</v>
      </c>
      <c r="W18" s="3">
        <f t="shared" ca="1" si="2"/>
        <v>0</v>
      </c>
      <c r="X18" s="3">
        <f t="shared" ca="1" si="2"/>
        <v>0</v>
      </c>
      <c r="Y18" s="3">
        <f t="shared" ca="1" si="2"/>
        <v>175000</v>
      </c>
      <c r="Z18" s="3">
        <f t="shared" ca="1" si="2"/>
        <v>175000</v>
      </c>
      <c r="AA18" s="3">
        <f t="shared" ca="1" si="2"/>
        <v>175000</v>
      </c>
      <c r="AB18" s="3">
        <f t="shared" ca="1" si="2"/>
        <v>350000</v>
      </c>
      <c r="AC18" s="3">
        <f t="shared" ca="1" si="2"/>
        <v>350000</v>
      </c>
      <c r="AD18" s="3">
        <f t="shared" ca="1" si="2"/>
        <v>175000</v>
      </c>
      <c r="AE18" s="3">
        <f t="shared" ca="1" si="2"/>
        <v>350000</v>
      </c>
      <c r="AF18" s="3">
        <f t="shared" ca="1" si="2"/>
        <v>350000</v>
      </c>
      <c r="AG18" s="3">
        <f t="shared" ca="1" si="2"/>
        <v>350000</v>
      </c>
      <c r="AH18" s="3">
        <f t="shared" ca="1" si="2"/>
        <v>350000</v>
      </c>
      <c r="AI18" s="3">
        <f t="shared" ca="1" si="2"/>
        <v>525000</v>
      </c>
      <c r="AJ18" s="3">
        <f t="shared" ca="1" si="2"/>
        <v>350000</v>
      </c>
      <c r="AK18" s="3">
        <f t="shared" ca="1" si="2"/>
        <v>525000</v>
      </c>
      <c r="AL18" s="3">
        <f t="shared" ca="1" si="2"/>
        <v>525000</v>
      </c>
      <c r="AM18" s="3">
        <f t="shared" ca="1" si="2"/>
        <v>525000</v>
      </c>
      <c r="AN18" s="3">
        <f t="shared" ca="1" si="2"/>
        <v>700000</v>
      </c>
      <c r="AO18" s="3">
        <f t="shared" ca="1" si="2"/>
        <v>700000</v>
      </c>
      <c r="AP18" s="3">
        <f t="shared" ca="1" si="2"/>
        <v>700000</v>
      </c>
      <c r="AQ18" s="3">
        <f t="shared" ca="1" si="2"/>
        <v>875000</v>
      </c>
      <c r="AR18" s="3">
        <f t="shared" ca="1" si="2"/>
        <v>700000</v>
      </c>
      <c r="AS18" s="3">
        <f t="shared" ca="1" si="2"/>
        <v>875000</v>
      </c>
      <c r="AT18" s="3">
        <f t="shared" ca="1" si="2"/>
        <v>1050000</v>
      </c>
      <c r="AU18" s="3">
        <f t="shared" ca="1" si="2"/>
        <v>875000</v>
      </c>
      <c r="AV18" s="3">
        <f t="shared" ca="1" si="2"/>
        <v>1050000</v>
      </c>
      <c r="AW18" s="3">
        <f t="shared" ca="1" si="2"/>
        <v>1050000</v>
      </c>
      <c r="AX18" s="3">
        <f t="shared" ca="1" si="2"/>
        <v>1225000</v>
      </c>
      <c r="AY18" s="3">
        <f t="shared" ca="1" si="2"/>
        <v>1225000</v>
      </c>
      <c r="AZ18" s="3">
        <f t="shared" ca="1" si="2"/>
        <v>1225000</v>
      </c>
      <c r="BA18" s="3">
        <f t="shared" ca="1" si="2"/>
        <v>1400000</v>
      </c>
      <c r="BB18" s="3">
        <f t="shared" ca="1" si="2"/>
        <v>1400000</v>
      </c>
      <c r="BC18" s="3">
        <f t="shared" ca="1" si="2"/>
        <v>1575000</v>
      </c>
      <c r="BD18" s="3">
        <f t="shared" ca="1" si="2"/>
        <v>1575000</v>
      </c>
      <c r="BE18" s="3">
        <f t="shared" ca="1" si="2"/>
        <v>1750000</v>
      </c>
      <c r="BF18" s="3">
        <f t="shared" ca="1" si="2"/>
        <v>1750000</v>
      </c>
      <c r="BG18" s="3">
        <f t="shared" ca="1" si="2"/>
        <v>1925000</v>
      </c>
      <c r="BH18" s="3">
        <f t="shared" ca="1" si="2"/>
        <v>2100000</v>
      </c>
      <c r="BI18" s="3">
        <f t="shared" ca="1" si="2"/>
        <v>2100000</v>
      </c>
      <c r="BJ18" s="3">
        <f t="shared" ca="1" si="2"/>
        <v>2275000</v>
      </c>
      <c r="BK18" s="3">
        <f t="shared" ca="1" si="2"/>
        <v>2450000</v>
      </c>
      <c r="BL18" s="3">
        <f t="shared" ca="1" si="2"/>
        <v>2625000</v>
      </c>
      <c r="BM18" s="3">
        <f t="shared" ca="1" si="2"/>
        <v>2625000</v>
      </c>
      <c r="BN18" s="3">
        <f t="shared" ca="1" si="2"/>
        <v>2975000</v>
      </c>
      <c r="BO18" s="3">
        <f t="shared" ca="1" si="2"/>
        <v>2975000</v>
      </c>
      <c r="BP18" s="3">
        <f t="shared" ca="1" si="2"/>
        <v>3325000</v>
      </c>
      <c r="BQ18" s="3">
        <f t="shared" ca="1" si="2"/>
        <v>3325000</v>
      </c>
    </row>
    <row r="21" spans="1:69">
      <c r="B21" s="25" t="s">
        <v>285</v>
      </c>
    </row>
    <row r="22" spans="1:69" outlineLevel="1">
      <c r="A22" s="18"/>
      <c r="B22" s="18"/>
      <c r="C22" s="28"/>
      <c r="D22" s="27"/>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-58048.333333333336</v>
      </c>
      <c r="K22" s="4">
        <f ca="1" xml:space="preserve">  'Balance Sheet'!K$12</f>
        <v>251411.66666666666</v>
      </c>
      <c r="L22" s="4">
        <f ca="1" xml:space="preserve">  'Balance Sheet'!L$12</f>
        <v>910651.66666666663</v>
      </c>
      <c r="M22" s="4">
        <f ca="1" xml:space="preserve">  'Balance Sheet'!M$12</f>
        <v>1567578.8739898915</v>
      </c>
      <c r="N22" s="4">
        <f ca="1" xml:space="preserve">  'Balance Sheet'!N$12</f>
        <v>2191117.1605955237</v>
      </c>
      <c r="O22" s="4">
        <f ca="1" xml:space="preserve">  'Balance Sheet'!O$12</f>
        <v>2936884.6155355028</v>
      </c>
      <c r="P22" s="4">
        <f ca="1" xml:space="preserve">  'Balance Sheet'!P$12</f>
        <v>4087607.2753236359</v>
      </c>
      <c r="Q22" s="4">
        <f ca="1" xml:space="preserve">  'Balance Sheet'!Q$12</f>
        <v>4503662.0585899511</v>
      </c>
      <c r="R22" s="4">
        <f ca="1" xml:space="preserve">  'Balance Sheet'!R$12</f>
        <v>4715522.9353443738</v>
      </c>
      <c r="S22" s="4">
        <f ca="1" xml:space="preserve">  'Balance Sheet'!S$12</f>
        <v>4330842.3112993408</v>
      </c>
      <c r="T22" s="4">
        <f ca="1" xml:space="preserve">  'Balance Sheet'!T$12</f>
        <v>5385323.6921992637</v>
      </c>
      <c r="U22" s="4">
        <f ca="1" xml:space="preserve">  'Balance Sheet'!U$12</f>
        <v>5355332.5878099194</v>
      </c>
      <c r="V22" s="4">
        <f ca="1" xml:space="preserve">  'Balance Sheet'!V$12</f>
        <v>6710872.6405423637</v>
      </c>
      <c r="W22" s="4">
        <f ca="1" xml:space="preserve">  'Balance Sheet'!W$12</f>
        <v>8056188.7885574475</v>
      </c>
      <c r="X22" s="4">
        <f ca="1" xml:space="preserve">  'Balance Sheet'!X$12</f>
        <v>7796743.5309883142</v>
      </c>
      <c r="Y22" s="4">
        <f ca="1" xml:space="preserve">  'Balance Sheet'!Y$12</f>
        <v>9221715.3005097471</v>
      </c>
      <c r="Z22" s="4">
        <f ca="1" xml:space="preserve">  'Balance Sheet'!Z$12</f>
        <v>9651164.9142331518</v>
      </c>
      <c r="AA22" s="4">
        <f ca="1" xml:space="preserve">  'Balance Sheet'!AA$12</f>
        <v>9615102.0522853062</v>
      </c>
      <c r="AB22" s="4">
        <f ca="1" xml:space="preserve">  'Balance Sheet'!AB$12</f>
        <v>10515884.528607138</v>
      </c>
      <c r="AC22" s="4">
        <f ca="1" xml:space="preserve">  'Balance Sheet'!AC$12</f>
        <v>11237783.035499211</v>
      </c>
      <c r="AD22" s="4">
        <f ca="1" xml:space="preserve">  'Balance Sheet'!AD$12</f>
        <v>11646926.264375336</v>
      </c>
      <c r="AE22" s="4">
        <f ca="1" xml:space="preserve">  'Balance Sheet'!AE$12</f>
        <v>11716873.141247123</v>
      </c>
      <c r="AF22" s="4">
        <f ca="1" xml:space="preserve">  'Balance Sheet'!AF$12</f>
        <v>14410244.003949393</v>
      </c>
      <c r="AG22" s="4">
        <f ca="1" xml:space="preserve">  'Balance Sheet'!AG$12</f>
        <v>15117302.796632491</v>
      </c>
      <c r="AH22" s="4">
        <f ca="1" xml:space="preserve">  'Balance Sheet'!AH$12</f>
        <v>17321657.193556726</v>
      </c>
      <c r="AI22" s="4">
        <f ca="1" xml:space="preserve">  'Balance Sheet'!AI$12</f>
        <v>20215278.340817943</v>
      </c>
      <c r="AJ22" s="4">
        <f ca="1" xml:space="preserve">  'Balance Sheet'!AJ$12</f>
        <v>20359586.114585087</v>
      </c>
      <c r="AK22" s="4">
        <f ca="1" xml:space="preserve">  'Balance Sheet'!AK$12</f>
        <v>19782015.926287588</v>
      </c>
      <c r="AL22" s="4">
        <f ca="1" xml:space="preserve">  'Balance Sheet'!AL$12</f>
        <v>20979546.135402143</v>
      </c>
      <c r="AM22" s="4">
        <f ca="1" xml:space="preserve">  'Balance Sheet'!AM$12</f>
        <v>21232863.012193829</v>
      </c>
      <c r="AN22" s="4">
        <f ca="1" xml:space="preserve">  'Balance Sheet'!AN$12</f>
        <v>22323683.371444806</v>
      </c>
      <c r="AO22" s="4">
        <f ca="1" xml:space="preserve">  'Balance Sheet'!AO$12</f>
        <v>23071734.831451703</v>
      </c>
      <c r="AP22" s="4">
        <f ca="1" xml:space="preserve">  'Balance Sheet'!AP$12</f>
        <v>24850787.303804018</v>
      </c>
      <c r="AQ22" s="4">
        <f ca="1" xml:space="preserve">  'Balance Sheet'!AQ$12</f>
        <v>26101903.5930456</v>
      </c>
      <c r="AR22" s="4">
        <f ca="1" xml:space="preserve">  'Balance Sheet'!AR$12</f>
        <v>28922052.80179254</v>
      </c>
      <c r="AS22" s="4">
        <f ca="1" xml:space="preserve">  'Balance Sheet'!AS$12</f>
        <v>31114646.334921326</v>
      </c>
      <c r="AT22" s="4">
        <f ca="1" xml:space="preserve">  'Balance Sheet'!AT$12</f>
        <v>33972662.06704171</v>
      </c>
      <c r="AU22" s="4">
        <f ca="1" xml:space="preserve">  'Balance Sheet'!AU$12</f>
        <v>38384924.098732658</v>
      </c>
      <c r="AV22" s="4">
        <f ca="1" xml:space="preserve">  'Balance Sheet'!AV$12</f>
        <v>41556031.489608452</v>
      </c>
      <c r="AW22" s="4">
        <f ca="1" xml:space="preserve">  'Balance Sheet'!AW$12</f>
        <v>41948970.881801382</v>
      </c>
      <c r="AX22" s="4">
        <f ca="1" xml:space="preserve">  'Balance Sheet'!AX$12</f>
        <v>47337362.209408581</v>
      </c>
      <c r="AY22" s="4">
        <f ca="1" xml:space="preserve">  'Balance Sheet'!AY$12</f>
        <v>49883610.414920151</v>
      </c>
      <c r="AZ22" s="4">
        <f ca="1" xml:space="preserve">  'Balance Sheet'!AZ$12</f>
        <v>54855945.066350162</v>
      </c>
      <c r="BA22" s="4">
        <f ca="1" xml:space="preserve">  'Balance Sheet'!BA$12</f>
        <v>60910456.133527353</v>
      </c>
      <c r="BB22" s="4">
        <f ca="1" xml:space="preserve">  'Balance Sheet'!BB$12</f>
        <v>64674053.402012274</v>
      </c>
      <c r="BC22" s="4">
        <f ca="1" xml:space="preserve">  'Balance Sheet'!BC$12</f>
        <v>70573372.453949481</v>
      </c>
      <c r="BD22" s="4">
        <f ca="1" xml:space="preserve">  'Balance Sheet'!BD$12</f>
        <v>77111839.072363675</v>
      </c>
      <c r="BE22" s="4">
        <f ca="1" xml:space="preserve">  'Balance Sheet'!BE$12</f>
        <v>82082472.514428034</v>
      </c>
      <c r="BF22" s="4">
        <f ca="1" xml:space="preserve">  'Balance Sheet'!BF$12</f>
        <v>89452083.171940684</v>
      </c>
      <c r="BG22" s="4">
        <f ca="1" xml:space="preserve">  'Balance Sheet'!BG$12</f>
        <v>97579174.834828153</v>
      </c>
      <c r="BH22" s="4">
        <f ca="1" xml:space="preserve">  'Balance Sheet'!BH$12</f>
        <v>103473842.19289011</v>
      </c>
      <c r="BI22" s="4">
        <f ca="1" xml:space="preserve">  'Balance Sheet'!BI$12</f>
        <v>104949416.06498106</v>
      </c>
      <c r="BJ22" s="4">
        <f ca="1" xml:space="preserve">  'Balance Sheet'!BJ$12</f>
        <v>115484120.04469937</v>
      </c>
      <c r="BK22" s="4">
        <f ca="1" xml:space="preserve">  'Balance Sheet'!BK$12</f>
        <v>121137555.4666743</v>
      </c>
      <c r="BL22" s="4">
        <f ca="1" xml:space="preserve">  'Balance Sheet'!BL$12</f>
        <v>132424205.05544689</v>
      </c>
      <c r="BM22" s="4">
        <f ca="1" xml:space="preserve">  'Balance Sheet'!BM$12</f>
        <v>144305179.15141821</v>
      </c>
      <c r="BN22" s="4">
        <f ca="1" xml:space="preserve">  'Balance Sheet'!BN$12</f>
        <v>151710633.625965</v>
      </c>
      <c r="BO22" s="4">
        <f ca="1" xml:space="preserve">  'Balance Sheet'!BO$12</f>
        <v>165166956.05282331</v>
      </c>
      <c r="BP22" s="4">
        <f ca="1" xml:space="preserve">  'Balance Sheet'!BP$12</f>
        <v>178592170.902913</v>
      </c>
      <c r="BQ22" s="4">
        <f ca="1" xml:space="preserve">  'Balance Sheet'!BQ$12</f>
        <v>188209688.31956792</v>
      </c>
    </row>
    <row r="23" spans="1:69" outlineLevel="1">
      <c r="A23" s="18"/>
      <c r="B23" s="18"/>
      <c r="C23" s="28"/>
      <c r="D23" s="27"/>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-23940</v>
      </c>
      <c r="K23" s="4">
        <f ca="1" xml:space="preserve">  'Balance Sheet'!K$21</f>
        <v>314920</v>
      </c>
      <c r="L23" s="4">
        <f ca="1" xml:space="preserve">  'Balance Sheet'!L$21</f>
        <v>978368.33333333337</v>
      </c>
      <c r="M23" s="4">
        <f ca="1" xml:space="preserve">  'Balance Sheet'!M$21</f>
        <v>1630731.0718778688</v>
      </c>
      <c r="N23" s="4">
        <f ca="1" xml:space="preserve">  'Balance Sheet'!N$21</f>
        <v>2268504.9707233305</v>
      </c>
      <c r="O23" s="4">
        <f ca="1" xml:space="preserve">  'Balance Sheet'!O$21</f>
        <v>3035676.7266569971</v>
      </c>
      <c r="P23" s="4">
        <f ca="1" xml:space="preserve">  'Balance Sheet'!P$21</f>
        <v>4148901.6486591003</v>
      </c>
      <c r="Q23" s="4">
        <f ca="1" xml:space="preserve">  'Balance Sheet'!Q$21</f>
        <v>4542408.0296353595</v>
      </c>
      <c r="R23" s="4">
        <f ca="1" xml:space="preserve">  'Balance Sheet'!R$21</f>
        <v>4694494.1691564284</v>
      </c>
      <c r="S23" s="4">
        <f ca="1" xml:space="preserve">  'Balance Sheet'!S$21</f>
        <v>4280536.9258851176</v>
      </c>
      <c r="T23" s="4">
        <f ca="1" xml:space="preserve">  'Balance Sheet'!T$21</f>
        <v>5210356.6983709512</v>
      </c>
      <c r="U23" s="4">
        <f ca="1" xml:space="preserve">  'Balance Sheet'!U$21</f>
        <v>5069106.8431514241</v>
      </c>
      <c r="V23" s="4">
        <f ca="1" xml:space="preserve">  'Balance Sheet'!V$21</f>
        <v>6239334.6786515126</v>
      </c>
      <c r="W23" s="4">
        <f ca="1" xml:space="preserve">  'Balance Sheet'!W$21</f>
        <v>7333986.2022414375</v>
      </c>
      <c r="X23" s="4">
        <f ca="1" xml:space="preserve">  'Balance Sheet'!X$21</f>
        <v>6817536.5817553308</v>
      </c>
      <c r="Y23" s="4">
        <f ca="1" xml:space="preserve">  'Balance Sheet'!Y$21</f>
        <v>7899241.7631100239</v>
      </c>
      <c r="Z23" s="4">
        <f ca="1" xml:space="preserve">  'Balance Sheet'!Z$21</f>
        <v>7980283.1384421885</v>
      </c>
      <c r="AA23" s="4">
        <f ca="1" xml:space="preserve">  'Balance Sheet'!AA$21</f>
        <v>7601790.9286104552</v>
      </c>
      <c r="AB23" s="4">
        <f ca="1" xml:space="preserve">  'Balance Sheet'!AB$21</f>
        <v>8159308.8843173953</v>
      </c>
      <c r="AC23" s="4">
        <f ca="1" xml:space="preserve">  'Balance Sheet'!AC$21</f>
        <v>8544549.772286633</v>
      </c>
      <c r="AD23" s="4">
        <f ca="1" xml:space="preserve">  'Balance Sheet'!AD$21</f>
        <v>8631255.4198247232</v>
      </c>
      <c r="AE23" s="4">
        <f ca="1" xml:space="preserve">  'Balance Sheet'!AE$21</f>
        <v>8386110.8412088323</v>
      </c>
      <c r="AF23" s="4">
        <f ca="1" xml:space="preserve">  'Balance Sheet'!AF$21</f>
        <v>10731540.061741369</v>
      </c>
      <c r="AG23" s="4">
        <f ca="1" xml:space="preserve">  'Balance Sheet'!AG$21</f>
        <v>11058585.665226139</v>
      </c>
      <c r="AH23" s="4">
        <f ca="1" xml:space="preserve">  'Balance Sheet'!AH$21</f>
        <v>12879916.484837156</v>
      </c>
      <c r="AI23" s="4">
        <f ca="1" xml:space="preserve">  'Balance Sheet'!AI$21</f>
        <v>15317571.694586013</v>
      </c>
      <c r="AJ23" s="4">
        <f ca="1" xml:space="preserve">  'Balance Sheet'!AJ$21</f>
        <v>14942006.188372485</v>
      </c>
      <c r="AK23" s="4">
        <f ca="1" xml:space="preserve">  'Balance Sheet'!AK$21</f>
        <v>13813425.197852336</v>
      </c>
      <c r="AL23" s="4">
        <f ca="1" xml:space="preserve">  'Balance Sheet'!AL$21</f>
        <v>14425734.53179637</v>
      </c>
      <c r="AM23" s="4">
        <f ca="1" xml:space="preserve">  'Balance Sheet'!AM$21</f>
        <v>14043742.250924384</v>
      </c>
      <c r="AN23" s="4">
        <f ca="1" xml:space="preserve">  'Balance Sheet'!AN$21</f>
        <v>14443516.750520226</v>
      </c>
      <c r="AO23" s="4">
        <f ca="1" xml:space="preserve">  'Balance Sheet'!AO$21</f>
        <v>14498812.010860858</v>
      </c>
      <c r="AP23" s="4">
        <f ca="1" xml:space="preserve">  'Balance Sheet'!AP$21</f>
        <v>15504144.887962755</v>
      </c>
      <c r="AQ23" s="4">
        <f ca="1" xml:space="preserve">  'Balance Sheet'!AQ$21</f>
        <v>15953151.579992529</v>
      </c>
      <c r="AR23" s="4">
        <f ca="1" xml:space="preserve">  'Balance Sheet'!AR$21</f>
        <v>17908969.618460875</v>
      </c>
      <c r="AS23" s="4">
        <f ca="1" xml:space="preserve">  'Balance Sheet'!AS$21</f>
        <v>19161165.445872135</v>
      </c>
      <c r="AT23" s="4">
        <f ca="1" xml:space="preserve">  'Balance Sheet'!AT$21</f>
        <v>21017826.458124548</v>
      </c>
      <c r="AU23" s="4">
        <f ca="1" xml:space="preserve">  'Balance Sheet'!AU$21</f>
        <v>24336859.921498634</v>
      </c>
      <c r="AV23" s="4">
        <f ca="1" xml:space="preserve">  'Balance Sheet'!AV$21</f>
        <v>26312094.341512017</v>
      </c>
      <c r="AW23" s="4">
        <f ca="1" xml:space="preserve">  'Balance Sheet'!AW$21</f>
        <v>25426302.383615308</v>
      </c>
      <c r="AX23" s="4">
        <f ca="1" xml:space="preserve">  'Balance Sheet'!AX$21</f>
        <v>29393633.775805715</v>
      </c>
      <c r="AY23" s="4">
        <f ca="1" xml:space="preserve">  'Balance Sheet'!AY$21</f>
        <v>30443607.553425673</v>
      </c>
      <c r="AZ23" s="4">
        <f ca="1" xml:space="preserve">  'Balance Sheet'!AZ$21</f>
        <v>33809736.738851741</v>
      </c>
      <c r="BA23" s="4">
        <f ca="1" xml:space="preserve">  'Balance Sheet'!BA$21</f>
        <v>38089418.982671417</v>
      </c>
      <c r="BB23" s="4">
        <f ca="1" xml:space="preserve">  'Balance Sheet'!BB$21</f>
        <v>39977532.401053317</v>
      </c>
      <c r="BC23" s="4">
        <f ca="1" xml:space="preserve">  'Balance Sheet'!BC$21</f>
        <v>43852349.350211196</v>
      </c>
      <c r="BD23" s="4">
        <f ca="1" xml:space="preserve">  'Balance Sheet'!BD$21</f>
        <v>48236697.547146052</v>
      </c>
      <c r="BE23" s="4">
        <f ca="1" xml:space="preserve">  'Balance Sheet'!BE$21</f>
        <v>50874705.806548052</v>
      </c>
      <c r="BF23" s="4">
        <f ca="1" xml:space="preserve">  'Balance Sheet'!BF$21</f>
        <v>55757107.492890432</v>
      </c>
      <c r="BG23" s="4">
        <f ca="1" xml:space="preserve">  'Balance Sheet'!BG$21</f>
        <v>61247067.276505239</v>
      </c>
      <c r="BH23" s="4">
        <f ca="1" xml:space="preserve">  'Balance Sheet'!BH$21</f>
        <v>64314289.893632255</v>
      </c>
      <c r="BI23" s="4">
        <f ca="1" xml:space="preserve">  'Balance Sheet'!BI$21</f>
        <v>62796032.290986456</v>
      </c>
      <c r="BJ23" s="4">
        <f ca="1" xml:space="preserve">  'Balance Sheet'!BJ$21</f>
        <v>70139766.123416483</v>
      </c>
      <c r="BK23" s="4">
        <f ca="1" xml:space="preserve">  'Balance Sheet'!BK$21</f>
        <v>72418807.258557528</v>
      </c>
      <c r="BL23" s="4">
        <f ca="1" xml:space="preserve">  'Balance Sheet'!BL$21</f>
        <v>80110535.740175441</v>
      </c>
      <c r="BM23" s="4">
        <f ca="1" xml:space="preserve">  'Balance Sheet'!BM$21</f>
        <v>88216767.903842941</v>
      </c>
      <c r="BN23" s="4">
        <f ca="1" xml:space="preserve">  'Balance Sheet'!BN$21</f>
        <v>91620500.932587996</v>
      </c>
      <c r="BO23" s="4">
        <f ca="1" xml:space="preserve">  'Balance Sheet'!BO$21</f>
        <v>100827437.43625133</v>
      </c>
      <c r="BP23" s="4">
        <f ca="1" xml:space="preserve">  'Balance Sheet'!BP$21</f>
        <v>109759050.04777673</v>
      </c>
      <c r="BQ23" s="4">
        <f ca="1" xml:space="preserve">  'Balance Sheet'!BQ$21</f>
        <v>114625415.78294745</v>
      </c>
    </row>
    <row r="24" spans="1:69" outlineLevel="1">
      <c r="A24" s="34"/>
      <c r="B24" s="34"/>
      <c r="C24" s="64"/>
      <c r="D24" s="65"/>
      <c r="E24" s="21" t="s">
        <v>285</v>
      </c>
      <c r="F24" s="21"/>
      <c r="G24" s="21" t="s">
        <v>258</v>
      </c>
      <c r="H24" s="21"/>
      <c r="I24" s="21"/>
      <c r="J24" s="3">
        <f t="shared" ref="J24:BQ24" ca="1" si="3" xml:space="preserve">  J22 - J23</f>
        <v>-34108.333333333336</v>
      </c>
      <c r="K24" s="3">
        <f t="shared" ca="1" si="3"/>
        <v>-63508.333333333343</v>
      </c>
      <c r="L24" s="3">
        <f t="shared" ca="1" si="3"/>
        <v>-67716.666666666744</v>
      </c>
      <c r="M24" s="3">
        <f t="shared" ca="1" si="3"/>
        <v>-63152.197887977352</v>
      </c>
      <c r="N24" s="3">
        <f t="shared" ca="1" si="3"/>
        <v>-77387.81012780685</v>
      </c>
      <c r="O24" s="3">
        <f t="shared" ca="1" si="3"/>
        <v>-98792.111121494323</v>
      </c>
      <c r="P24" s="3">
        <f t="shared" ca="1" si="3"/>
        <v>-61294.373335464392</v>
      </c>
      <c r="Q24" s="3">
        <f t="shared" ca="1" si="3"/>
        <v>-38745.971045408398</v>
      </c>
      <c r="R24" s="3">
        <f t="shared" ca="1" si="3"/>
        <v>21028.766187945381</v>
      </c>
      <c r="S24" s="3">
        <f t="shared" ca="1" si="3"/>
        <v>50305.385414223187</v>
      </c>
      <c r="T24" s="3">
        <f t="shared" ca="1" si="3"/>
        <v>174966.99382831249</v>
      </c>
      <c r="U24" s="3">
        <f t="shared" ca="1" si="3"/>
        <v>286225.7446584953</v>
      </c>
      <c r="V24" s="3">
        <f t="shared" ca="1" si="3"/>
        <v>471537.96189085115</v>
      </c>
      <c r="W24" s="3">
        <f t="shared" ca="1" si="3"/>
        <v>722202.58631600998</v>
      </c>
      <c r="X24" s="3">
        <f t="shared" ca="1" si="3"/>
        <v>979206.9492329834</v>
      </c>
      <c r="Y24" s="3">
        <f t="shared" ca="1" si="3"/>
        <v>1322473.5373997232</v>
      </c>
      <c r="Z24" s="3">
        <f t="shared" ca="1" si="3"/>
        <v>1670881.7757909633</v>
      </c>
      <c r="AA24" s="3">
        <f t="shared" ca="1" si="3"/>
        <v>2013311.1236748509</v>
      </c>
      <c r="AB24" s="3">
        <f t="shared" ca="1" si="3"/>
        <v>2356575.6442897422</v>
      </c>
      <c r="AC24" s="3">
        <f t="shared" ca="1" si="3"/>
        <v>2693233.2632125784</v>
      </c>
      <c r="AD24" s="3">
        <f t="shared" ca="1" si="3"/>
        <v>3015670.8445506133</v>
      </c>
      <c r="AE24" s="3">
        <f t="shared" ca="1" si="3"/>
        <v>3330762.3000382911</v>
      </c>
      <c r="AF24" s="3">
        <f t="shared" ca="1" si="3"/>
        <v>3678703.9422080237</v>
      </c>
      <c r="AG24" s="3">
        <f t="shared" ca="1" si="3"/>
        <v>4058717.1314063519</v>
      </c>
      <c r="AH24" s="3">
        <f t="shared" ca="1" si="3"/>
        <v>4441740.7087195702</v>
      </c>
      <c r="AI24" s="3">
        <f t="shared" ca="1" si="3"/>
        <v>4897706.6462319307</v>
      </c>
      <c r="AJ24" s="3">
        <f t="shared" ca="1" si="3"/>
        <v>5417579.9262126014</v>
      </c>
      <c r="AK24" s="3">
        <f t="shared" ca="1" si="3"/>
        <v>5968590.7284352519</v>
      </c>
      <c r="AL24" s="3">
        <f t="shared" ca="1" si="3"/>
        <v>6553811.6036057733</v>
      </c>
      <c r="AM24" s="3">
        <f t="shared" ca="1" si="3"/>
        <v>7189120.7612694446</v>
      </c>
      <c r="AN24" s="3">
        <f t="shared" ca="1" si="3"/>
        <v>7880166.6209245808</v>
      </c>
      <c r="AO24" s="3">
        <f t="shared" ca="1" si="3"/>
        <v>8572922.8205908444</v>
      </c>
      <c r="AP24" s="3">
        <f t="shared" ca="1" si="3"/>
        <v>9346642.4158412628</v>
      </c>
      <c r="AQ24" s="3">
        <f t="shared" ca="1" si="3"/>
        <v>10148752.013053071</v>
      </c>
      <c r="AR24" s="3">
        <f t="shared" ca="1" si="3"/>
        <v>11013083.183331665</v>
      </c>
      <c r="AS24" s="3">
        <f t="shared" ca="1" si="3"/>
        <v>11953480.889049191</v>
      </c>
      <c r="AT24" s="3">
        <f t="shared" ca="1" si="3"/>
        <v>12954835.608917162</v>
      </c>
      <c r="AU24" s="3">
        <f t="shared" ca="1" si="3"/>
        <v>14048064.177234024</v>
      </c>
      <c r="AV24" s="3">
        <f t="shared" ca="1" si="3"/>
        <v>15243937.148096435</v>
      </c>
      <c r="AW24" s="3">
        <f t="shared" ca="1" si="3"/>
        <v>16522668.498186074</v>
      </c>
      <c r="AX24" s="3">
        <f t="shared" ca="1" si="3"/>
        <v>17943728.433602866</v>
      </c>
      <c r="AY24" s="3">
        <f t="shared" ca="1" si="3"/>
        <v>19440002.861494478</v>
      </c>
      <c r="AZ24" s="3">
        <f t="shared" ca="1" si="3"/>
        <v>21046208.327498421</v>
      </c>
      <c r="BA24" s="3">
        <f t="shared" ca="1" si="3"/>
        <v>22821037.150855936</v>
      </c>
      <c r="BB24" s="3">
        <f t="shared" ca="1" si="3"/>
        <v>24696521.000958957</v>
      </c>
      <c r="BC24" s="3">
        <f t="shared" ca="1" si="3"/>
        <v>26721023.103738286</v>
      </c>
      <c r="BD24" s="3">
        <f t="shared" ca="1" si="3"/>
        <v>28875141.525217623</v>
      </c>
      <c r="BE24" s="3">
        <f t="shared" ca="1" si="3"/>
        <v>31207766.707879983</v>
      </c>
      <c r="BF24" s="3">
        <f t="shared" ca="1" si="3"/>
        <v>33694975.679050252</v>
      </c>
      <c r="BG24" s="3">
        <f t="shared" ca="1" si="3"/>
        <v>36332107.558322914</v>
      </c>
      <c r="BH24" s="3">
        <f t="shared" ca="1" si="3"/>
        <v>39159552.299257852</v>
      </c>
      <c r="BI24" s="3">
        <f t="shared" ca="1" si="3"/>
        <v>42153383.773994602</v>
      </c>
      <c r="BJ24" s="3">
        <f t="shared" ca="1" si="3"/>
        <v>45344353.921282887</v>
      </c>
      <c r="BK24" s="3">
        <f t="shared" ca="1" si="3"/>
        <v>48718748.20811677</v>
      </c>
      <c r="BL24" s="3">
        <f t="shared" ca="1" si="3"/>
        <v>52313669.315271452</v>
      </c>
      <c r="BM24" s="3">
        <f t="shared" ca="1" si="3"/>
        <v>56088411.247575268</v>
      </c>
      <c r="BN24" s="3">
        <f t="shared" ca="1" si="3"/>
        <v>60090132.693377003</v>
      </c>
      <c r="BO24" s="3">
        <f t="shared" ca="1" si="3"/>
        <v>64339518.616571978</v>
      </c>
      <c r="BP24" s="3">
        <f t="shared" ca="1" si="3"/>
        <v>68833120.855136275</v>
      </c>
      <c r="BQ24" s="3">
        <f t="shared" ca="1" si="3"/>
        <v>73584272.536620468</v>
      </c>
    </row>
    <row r="27" spans="1:69">
      <c r="B27" s="25" t="s">
        <v>34</v>
      </c>
    </row>
    <row r="28" spans="1:69" outlineLevel="1">
      <c r="E28" s="2" t="str">
        <f t="shared" ref="E28:BQ28" si="4" xml:space="preserve">  E$38</f>
        <v>Retained Earnings</v>
      </c>
      <c r="F28" s="2">
        <f t="shared" si="4"/>
        <v>0</v>
      </c>
      <c r="G28" s="2" t="str">
        <f t="shared" si="4"/>
        <v>GBP</v>
      </c>
      <c r="H28" s="2">
        <f t="shared" si="4"/>
        <v>0</v>
      </c>
      <c r="I28" s="2">
        <f t="shared" si="4"/>
        <v>0</v>
      </c>
      <c r="J28" s="2">
        <f t="shared" ca="1" si="4"/>
        <v>-34108.333333333336</v>
      </c>
      <c r="K28" s="2">
        <f t="shared" ca="1" si="4"/>
        <v>-63508.333333333336</v>
      </c>
      <c r="L28" s="2">
        <f t="shared" ca="1" si="4"/>
        <v>-67716.666666666672</v>
      </c>
      <c r="M28" s="2">
        <f t="shared" ca="1" si="4"/>
        <v>-63152.197887977491</v>
      </c>
      <c r="N28" s="2">
        <f t="shared" ca="1" si="4"/>
        <v>-77387.810127806821</v>
      </c>
      <c r="O28" s="2">
        <f t="shared" ca="1" si="4"/>
        <v>-98792.111121494177</v>
      </c>
      <c r="P28" s="2">
        <f t="shared" ca="1" si="4"/>
        <v>-61294.373335464028</v>
      </c>
      <c r="Q28" s="2">
        <f t="shared" ca="1" si="4"/>
        <v>-38745.971045408362</v>
      </c>
      <c r="R28" s="2">
        <f t="shared" ca="1" si="4"/>
        <v>21028.766187944522</v>
      </c>
      <c r="S28" s="2">
        <f t="shared" ca="1" si="4"/>
        <v>50305.385414222823</v>
      </c>
      <c r="T28" s="2">
        <f t="shared" ca="1" si="4"/>
        <v>174966.99382831081</v>
      </c>
      <c r="U28" s="2">
        <f t="shared" ca="1" si="4"/>
        <v>286225.74465849414</v>
      </c>
      <c r="V28" s="2">
        <f t="shared" ca="1" si="4"/>
        <v>471537.96189085185</v>
      </c>
      <c r="W28" s="2">
        <f t="shared" ca="1" si="4"/>
        <v>722202.58631600952</v>
      </c>
      <c r="X28" s="2">
        <f t="shared" ca="1" si="4"/>
        <v>979206.94923298375</v>
      </c>
      <c r="Y28" s="2">
        <f t="shared" ca="1" si="4"/>
        <v>1322473.5373997237</v>
      </c>
      <c r="Z28" s="2">
        <f t="shared" ca="1" si="4"/>
        <v>1670881.7757909633</v>
      </c>
      <c r="AA28" s="2">
        <f t="shared" ca="1" si="4"/>
        <v>2013311.1236748483</v>
      </c>
      <c r="AB28" s="2">
        <f t="shared" ca="1" si="4"/>
        <v>2356575.6442897408</v>
      </c>
      <c r="AC28" s="2">
        <f t="shared" ca="1" si="4"/>
        <v>2693233.2632125793</v>
      </c>
      <c r="AD28" s="2">
        <f t="shared" ca="1" si="4"/>
        <v>3015670.8445506133</v>
      </c>
      <c r="AE28" s="2">
        <f t="shared" ca="1" si="4"/>
        <v>3330762.3000382911</v>
      </c>
      <c r="AF28" s="2">
        <f t="shared" ca="1" si="4"/>
        <v>3678703.9422080233</v>
      </c>
      <c r="AG28" s="2">
        <f t="shared" ca="1" si="4"/>
        <v>4058717.1314063538</v>
      </c>
      <c r="AH28" s="2">
        <f t="shared" ca="1" si="4"/>
        <v>4441740.7087195702</v>
      </c>
      <c r="AI28" s="2">
        <f t="shared" ca="1" si="4"/>
        <v>4897706.6462319326</v>
      </c>
      <c r="AJ28" s="2">
        <f t="shared" ca="1" si="4"/>
        <v>5417579.9262126014</v>
      </c>
      <c r="AK28" s="2">
        <f t="shared" ca="1" si="4"/>
        <v>5968590.7284352537</v>
      </c>
      <c r="AL28" s="2">
        <f t="shared" ca="1" si="4"/>
        <v>6553811.6036057789</v>
      </c>
      <c r="AM28" s="2">
        <f t="shared" ca="1" si="4"/>
        <v>7189120.7612694446</v>
      </c>
      <c r="AN28" s="2">
        <f t="shared" ca="1" si="4"/>
        <v>7880166.6209245846</v>
      </c>
      <c r="AO28" s="2">
        <f t="shared" ca="1" si="4"/>
        <v>8572922.8205908481</v>
      </c>
      <c r="AP28" s="2">
        <f t="shared" ca="1" si="4"/>
        <v>9346642.4158412665</v>
      </c>
      <c r="AQ28" s="2">
        <f t="shared" ca="1" si="4"/>
        <v>10148752.013053076</v>
      </c>
      <c r="AR28" s="2">
        <f t="shared" ca="1" si="4"/>
        <v>11013083.18333167</v>
      </c>
      <c r="AS28" s="2">
        <f t="shared" ca="1" si="4"/>
        <v>11953480.889049191</v>
      </c>
      <c r="AT28" s="2">
        <f t="shared" ca="1" si="4"/>
        <v>12954835.608917173</v>
      </c>
      <c r="AU28" s="2">
        <f t="shared" ca="1" si="4"/>
        <v>14048064.177234029</v>
      </c>
      <c r="AV28" s="2">
        <f t="shared" ca="1" si="4"/>
        <v>15243937.148096446</v>
      </c>
      <c r="AW28" s="2">
        <f t="shared" ca="1" si="4"/>
        <v>16522668.498186078</v>
      </c>
      <c r="AX28" s="2">
        <f t="shared" ca="1" si="4"/>
        <v>17943728.43360287</v>
      </c>
      <c r="AY28" s="2">
        <f t="shared" ca="1" si="4"/>
        <v>19440002.861494482</v>
      </c>
      <c r="AZ28" s="2">
        <f t="shared" ca="1" si="4"/>
        <v>21046208.327498429</v>
      </c>
      <c r="BA28" s="2">
        <f t="shared" ca="1" si="4"/>
        <v>22821037.150855947</v>
      </c>
      <c r="BB28" s="2">
        <f t="shared" ca="1" si="4"/>
        <v>24696521.000958964</v>
      </c>
      <c r="BC28" s="2">
        <f t="shared" ca="1" si="4"/>
        <v>26721023.103738304</v>
      </c>
      <c r="BD28" s="2">
        <f t="shared" ca="1" si="4"/>
        <v>28875141.525217637</v>
      </c>
      <c r="BE28" s="2">
        <f t="shared" ca="1" si="4"/>
        <v>31207766.70787999</v>
      </c>
      <c r="BF28" s="2">
        <f t="shared" ca="1" si="4"/>
        <v>33694975.679050267</v>
      </c>
      <c r="BG28" s="2">
        <f t="shared" ca="1" si="4"/>
        <v>36332107.558322944</v>
      </c>
      <c r="BH28" s="2">
        <f t="shared" ca="1" si="4"/>
        <v>39159552.29925786</v>
      </c>
      <c r="BI28" s="2">
        <f t="shared" ca="1" si="4"/>
        <v>42153383.773994625</v>
      </c>
      <c r="BJ28" s="2">
        <f t="shared" ca="1" si="4"/>
        <v>45344353.921282917</v>
      </c>
      <c r="BK28" s="2">
        <f t="shared" ca="1" si="4"/>
        <v>48718748.208116777</v>
      </c>
      <c r="BL28" s="2">
        <f t="shared" ca="1" si="4"/>
        <v>52313669.315271474</v>
      </c>
      <c r="BM28" s="2">
        <f t="shared" ca="1" si="4"/>
        <v>56088411.247575298</v>
      </c>
      <c r="BN28" s="2">
        <f t="shared" ca="1" si="4"/>
        <v>60090132.693377018</v>
      </c>
      <c r="BO28" s="2">
        <f t="shared" ca="1" si="4"/>
        <v>64339518.616572008</v>
      </c>
      <c r="BP28" s="2">
        <f t="shared" ca="1" si="4"/>
        <v>68833120.85513629</v>
      </c>
      <c r="BQ28" s="2">
        <f t="shared" ca="1" si="4"/>
        <v>73584272.536620528</v>
      </c>
    </row>
    <row r="29" spans="1:69" outlineLevel="1">
      <c r="A29" s="18"/>
      <c r="B29" s="18"/>
      <c r="C29" s="28"/>
      <c r="D29" s="27"/>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4"/>
      <c r="B30" s="34"/>
      <c r="C30" s="64"/>
      <c r="D30" s="65"/>
      <c r="E30" s="21" t="s">
        <v>34</v>
      </c>
      <c r="F30" s="21"/>
      <c r="G30" s="21" t="s">
        <v>258</v>
      </c>
      <c r="H30" s="21"/>
      <c r="I30" s="21"/>
      <c r="J30" s="3">
        <f t="shared" ref="J30:BQ30" ca="1" si="5" xml:space="preserve">  J28 + J29</f>
        <v>-34108.333333333336</v>
      </c>
      <c r="K30" s="3">
        <f t="shared" ca="1" si="5"/>
        <v>-63508.333333333336</v>
      </c>
      <c r="L30" s="3">
        <f t="shared" ca="1" si="5"/>
        <v>-67716.666666666672</v>
      </c>
      <c r="M30" s="3">
        <f t="shared" ca="1" si="5"/>
        <v>-63152.197887977491</v>
      </c>
      <c r="N30" s="3">
        <f t="shared" ca="1" si="5"/>
        <v>-77387.810127806821</v>
      </c>
      <c r="O30" s="3">
        <f t="shared" ca="1" si="5"/>
        <v>-98792.111121494177</v>
      </c>
      <c r="P30" s="3">
        <f t="shared" ca="1" si="5"/>
        <v>-61294.373335464028</v>
      </c>
      <c r="Q30" s="3">
        <f t="shared" ca="1" si="5"/>
        <v>-38745.971045408362</v>
      </c>
      <c r="R30" s="3">
        <f t="shared" ca="1" si="5"/>
        <v>21028.766187944522</v>
      </c>
      <c r="S30" s="3">
        <f t="shared" ca="1" si="5"/>
        <v>50305.385414222823</v>
      </c>
      <c r="T30" s="3">
        <f t="shared" ca="1" si="5"/>
        <v>174966.99382831081</v>
      </c>
      <c r="U30" s="3">
        <f t="shared" ca="1" si="5"/>
        <v>286225.74465849414</v>
      </c>
      <c r="V30" s="3">
        <f t="shared" ca="1" si="5"/>
        <v>471537.96189085185</v>
      </c>
      <c r="W30" s="3">
        <f t="shared" ca="1" si="5"/>
        <v>722202.58631600952</v>
      </c>
      <c r="X30" s="3">
        <f t="shared" ca="1" si="5"/>
        <v>979206.94923298375</v>
      </c>
      <c r="Y30" s="3">
        <f t="shared" ca="1" si="5"/>
        <v>1322473.5373997237</v>
      </c>
      <c r="Z30" s="3">
        <f t="shared" ca="1" si="5"/>
        <v>1670881.7757909633</v>
      </c>
      <c r="AA30" s="3">
        <f t="shared" ca="1" si="5"/>
        <v>2013311.1236748483</v>
      </c>
      <c r="AB30" s="3">
        <f t="shared" ca="1" si="5"/>
        <v>2356575.6442897408</v>
      </c>
      <c r="AC30" s="3">
        <f t="shared" ca="1" si="5"/>
        <v>2693233.2632125793</v>
      </c>
      <c r="AD30" s="3">
        <f t="shared" ca="1" si="5"/>
        <v>3015670.8445506133</v>
      </c>
      <c r="AE30" s="3">
        <f t="shared" ca="1" si="5"/>
        <v>3330762.3000382911</v>
      </c>
      <c r="AF30" s="3">
        <f t="shared" ca="1" si="5"/>
        <v>3678703.9422080233</v>
      </c>
      <c r="AG30" s="3">
        <f t="shared" ca="1" si="5"/>
        <v>4058717.1314063538</v>
      </c>
      <c r="AH30" s="3">
        <f t="shared" ca="1" si="5"/>
        <v>4441740.7087195702</v>
      </c>
      <c r="AI30" s="3">
        <f t="shared" ca="1" si="5"/>
        <v>4897706.6462319326</v>
      </c>
      <c r="AJ30" s="3">
        <f t="shared" ca="1" si="5"/>
        <v>5417579.9262126014</v>
      </c>
      <c r="AK30" s="3">
        <f t="shared" ca="1" si="5"/>
        <v>5968590.7284352537</v>
      </c>
      <c r="AL30" s="3">
        <f t="shared" ca="1" si="5"/>
        <v>6553811.6036057789</v>
      </c>
      <c r="AM30" s="3">
        <f t="shared" ca="1" si="5"/>
        <v>7189120.7612694446</v>
      </c>
      <c r="AN30" s="3">
        <f t="shared" ca="1" si="5"/>
        <v>7880166.6209245846</v>
      </c>
      <c r="AO30" s="3">
        <f t="shared" ca="1" si="5"/>
        <v>8572922.8205908481</v>
      </c>
      <c r="AP30" s="3">
        <f t="shared" ca="1" si="5"/>
        <v>9346642.4158412665</v>
      </c>
      <c r="AQ30" s="3">
        <f t="shared" ca="1" si="5"/>
        <v>10148752.013053076</v>
      </c>
      <c r="AR30" s="3">
        <f t="shared" ca="1" si="5"/>
        <v>11013083.18333167</v>
      </c>
      <c r="AS30" s="3">
        <f t="shared" ca="1" si="5"/>
        <v>11953480.889049191</v>
      </c>
      <c r="AT30" s="3">
        <f t="shared" ca="1" si="5"/>
        <v>12954835.608917173</v>
      </c>
      <c r="AU30" s="3">
        <f t="shared" ca="1" si="5"/>
        <v>14048064.177234029</v>
      </c>
      <c r="AV30" s="3">
        <f t="shared" ca="1" si="5"/>
        <v>15243937.148096446</v>
      </c>
      <c r="AW30" s="3">
        <f t="shared" ca="1" si="5"/>
        <v>16522668.498186078</v>
      </c>
      <c r="AX30" s="3">
        <f t="shared" ca="1" si="5"/>
        <v>17943728.43360287</v>
      </c>
      <c r="AY30" s="3">
        <f t="shared" ca="1" si="5"/>
        <v>19440002.861494482</v>
      </c>
      <c r="AZ30" s="3">
        <f t="shared" ca="1" si="5"/>
        <v>21046208.327498429</v>
      </c>
      <c r="BA30" s="3">
        <f t="shared" ca="1" si="5"/>
        <v>22821037.150855947</v>
      </c>
      <c r="BB30" s="3">
        <f t="shared" ca="1" si="5"/>
        <v>24696521.000958964</v>
      </c>
      <c r="BC30" s="3">
        <f t="shared" ca="1" si="5"/>
        <v>26721023.103738304</v>
      </c>
      <c r="BD30" s="3">
        <f t="shared" ca="1" si="5"/>
        <v>28875141.525217637</v>
      </c>
      <c r="BE30" s="3">
        <f t="shared" ca="1" si="5"/>
        <v>31207766.70787999</v>
      </c>
      <c r="BF30" s="3">
        <f t="shared" ca="1" si="5"/>
        <v>33694975.679050267</v>
      </c>
      <c r="BG30" s="3">
        <f t="shared" ca="1" si="5"/>
        <v>36332107.558322944</v>
      </c>
      <c r="BH30" s="3">
        <f t="shared" ca="1" si="5"/>
        <v>39159552.29925786</v>
      </c>
      <c r="BI30" s="3">
        <f t="shared" ca="1" si="5"/>
        <v>42153383.773994625</v>
      </c>
      <c r="BJ30" s="3">
        <f t="shared" ca="1" si="5"/>
        <v>45344353.921282917</v>
      </c>
      <c r="BK30" s="3">
        <f t="shared" ca="1" si="5"/>
        <v>48718748.208116777</v>
      </c>
      <c r="BL30" s="3">
        <f t="shared" ca="1" si="5"/>
        <v>52313669.315271474</v>
      </c>
      <c r="BM30" s="3">
        <f t="shared" ca="1" si="5"/>
        <v>56088411.247575298</v>
      </c>
      <c r="BN30" s="3">
        <f t="shared" ca="1" si="5"/>
        <v>60090132.693377018</v>
      </c>
      <c r="BO30" s="3">
        <f t="shared" ca="1" si="5"/>
        <v>64339518.616572008</v>
      </c>
      <c r="BP30" s="3">
        <f t="shared" ca="1" si="5"/>
        <v>68833120.85513629</v>
      </c>
      <c r="BQ30" s="3">
        <f t="shared" ca="1" si="5"/>
        <v>73584272.536620528</v>
      </c>
    </row>
    <row r="33" spans="1:69">
      <c r="B33" s="25" t="s">
        <v>12</v>
      </c>
    </row>
    <row r="34" spans="1:69" s="82" customFormat="1">
      <c r="A34" s="59"/>
      <c r="B34" s="59"/>
      <c r="C34" s="87"/>
      <c r="D34" s="84"/>
      <c r="E34" s="40" t="str">
        <f xml:space="preserve">  InpC!E$53</f>
        <v>Opening Retained Earnings</v>
      </c>
      <c r="F34" s="40">
        <f xml:space="preserve">  InpC!F$53</f>
        <v>0</v>
      </c>
      <c r="G34" s="40" t="str">
        <f xml:space="preserve">  InpC!G$53</f>
        <v>GBP</v>
      </c>
      <c r="M34" s="80"/>
    </row>
    <row r="35" spans="1:69">
      <c r="A35" s="18"/>
      <c r="B35" s="18"/>
      <c r="C35" s="28"/>
      <c r="D35" s="27"/>
      <c r="E35" s="9" t="str">
        <f xml:space="preserve">  Time!E$28</f>
        <v>Period number</v>
      </c>
      <c r="F35" s="9">
        <f xml:space="preserve">  Time!F$28</f>
        <v>0</v>
      </c>
      <c r="G35" s="9" t="str">
        <f xml:space="preserve">  Time!G$28</f>
        <v>Counter</v>
      </c>
      <c r="H35" s="9">
        <f xml:space="preserve">  Time!H$28</f>
        <v>0</v>
      </c>
      <c r="I35" s="9">
        <f xml:space="preserve">  Time!I$28</f>
        <v>0</v>
      </c>
      <c r="J35" s="9">
        <f xml:space="preserve">  Time!J$28</f>
        <v>1</v>
      </c>
      <c r="K35" s="9">
        <f xml:space="preserve">  Time!K$28</f>
        <v>2</v>
      </c>
      <c r="L35" s="9">
        <f xml:space="preserve">  Time!L$28</f>
        <v>3</v>
      </c>
      <c r="M35" s="9">
        <f xml:space="preserve">  Time!M$28</f>
        <v>4</v>
      </c>
      <c r="N35" s="9">
        <f xml:space="preserve">  Time!N$28</f>
        <v>5</v>
      </c>
      <c r="O35" s="9">
        <f xml:space="preserve">  Time!O$28</f>
        <v>6</v>
      </c>
      <c r="P35" s="9">
        <f xml:space="preserve">  Time!P$28</f>
        <v>7</v>
      </c>
      <c r="Q35" s="9">
        <f xml:space="preserve">  Time!Q$28</f>
        <v>8</v>
      </c>
      <c r="R35" s="9">
        <f xml:space="preserve">  Time!R$28</f>
        <v>9</v>
      </c>
      <c r="S35" s="9">
        <f xml:space="preserve">  Time!S$28</f>
        <v>10</v>
      </c>
      <c r="T35" s="9">
        <f xml:space="preserve">  Time!T$28</f>
        <v>11</v>
      </c>
      <c r="U35" s="9">
        <f xml:space="preserve">  Time!U$28</f>
        <v>12</v>
      </c>
      <c r="V35" s="9">
        <f xml:space="preserve">  Time!V$28</f>
        <v>13</v>
      </c>
      <c r="W35" s="9">
        <f xml:space="preserve">  Time!W$28</f>
        <v>14</v>
      </c>
      <c r="X35" s="9">
        <f xml:space="preserve">  Time!X$28</f>
        <v>15</v>
      </c>
      <c r="Y35" s="9">
        <f xml:space="preserve">  Time!Y$28</f>
        <v>16</v>
      </c>
      <c r="Z35" s="9">
        <f xml:space="preserve">  Time!Z$28</f>
        <v>17</v>
      </c>
      <c r="AA35" s="9">
        <f xml:space="preserve">  Time!AA$28</f>
        <v>18</v>
      </c>
      <c r="AB35" s="9">
        <f xml:space="preserve">  Time!AB$28</f>
        <v>19</v>
      </c>
      <c r="AC35" s="9">
        <f xml:space="preserve">  Time!AC$28</f>
        <v>20</v>
      </c>
      <c r="AD35" s="9">
        <f xml:space="preserve">  Time!AD$28</f>
        <v>21</v>
      </c>
      <c r="AE35" s="9">
        <f xml:space="preserve">  Time!AE$28</f>
        <v>22</v>
      </c>
      <c r="AF35" s="9">
        <f xml:space="preserve">  Time!AF$28</f>
        <v>23</v>
      </c>
      <c r="AG35" s="9">
        <f xml:space="preserve">  Time!AG$28</f>
        <v>24</v>
      </c>
      <c r="AH35" s="9">
        <f xml:space="preserve">  Time!AH$28</f>
        <v>25</v>
      </c>
      <c r="AI35" s="9">
        <f xml:space="preserve">  Time!AI$28</f>
        <v>26</v>
      </c>
      <c r="AJ35" s="9">
        <f xml:space="preserve">  Time!AJ$28</f>
        <v>27</v>
      </c>
      <c r="AK35" s="9">
        <f xml:space="preserve">  Time!AK$28</f>
        <v>28</v>
      </c>
      <c r="AL35" s="9">
        <f xml:space="preserve">  Time!AL$28</f>
        <v>29</v>
      </c>
      <c r="AM35" s="9">
        <f xml:space="preserve">  Time!AM$28</f>
        <v>30</v>
      </c>
      <c r="AN35" s="9">
        <f xml:space="preserve">  Time!AN$28</f>
        <v>31</v>
      </c>
      <c r="AO35" s="9">
        <f xml:space="preserve">  Time!AO$28</f>
        <v>32</v>
      </c>
      <c r="AP35" s="9">
        <f xml:space="preserve">  Time!AP$28</f>
        <v>33</v>
      </c>
      <c r="AQ35" s="9">
        <f xml:space="preserve">  Time!AQ$28</f>
        <v>34</v>
      </c>
      <c r="AR35" s="9">
        <f xml:space="preserve">  Time!AR$28</f>
        <v>35</v>
      </c>
      <c r="AS35" s="9">
        <f xml:space="preserve">  Time!AS$28</f>
        <v>36</v>
      </c>
      <c r="AT35" s="9">
        <f xml:space="preserve">  Time!AT$28</f>
        <v>37</v>
      </c>
      <c r="AU35" s="9">
        <f xml:space="preserve">  Time!AU$28</f>
        <v>38</v>
      </c>
      <c r="AV35" s="9">
        <f xml:space="preserve">  Time!AV$28</f>
        <v>39</v>
      </c>
      <c r="AW35" s="9">
        <f xml:space="preserve">  Time!AW$28</f>
        <v>40</v>
      </c>
      <c r="AX35" s="9">
        <f xml:space="preserve">  Time!AX$28</f>
        <v>41</v>
      </c>
      <c r="AY35" s="9">
        <f xml:space="preserve">  Time!AY$28</f>
        <v>42</v>
      </c>
      <c r="AZ35" s="9">
        <f xml:space="preserve">  Time!AZ$28</f>
        <v>43</v>
      </c>
      <c r="BA35" s="9">
        <f xml:space="preserve">  Time!BA$28</f>
        <v>44</v>
      </c>
      <c r="BB35" s="9">
        <f xml:space="preserve">  Time!BB$28</f>
        <v>45</v>
      </c>
      <c r="BC35" s="9">
        <f xml:space="preserve">  Time!BC$28</f>
        <v>46</v>
      </c>
      <c r="BD35" s="9">
        <f xml:space="preserve">  Time!BD$28</f>
        <v>47</v>
      </c>
      <c r="BE35" s="9">
        <f xml:space="preserve">  Time!BE$28</f>
        <v>48</v>
      </c>
      <c r="BF35" s="9">
        <f xml:space="preserve">  Time!BF$28</f>
        <v>49</v>
      </c>
      <c r="BG35" s="9">
        <f xml:space="preserve">  Time!BG$28</f>
        <v>50</v>
      </c>
      <c r="BH35" s="9">
        <f xml:space="preserve">  Time!BH$28</f>
        <v>51</v>
      </c>
      <c r="BI35" s="9">
        <f xml:space="preserve">  Time!BI$28</f>
        <v>52</v>
      </c>
      <c r="BJ35" s="9">
        <f xml:space="preserve">  Time!BJ$28</f>
        <v>53</v>
      </c>
      <c r="BK35" s="9">
        <f xml:space="preserve">  Time!BK$28</f>
        <v>54</v>
      </c>
      <c r="BL35" s="9">
        <f xml:space="preserve">  Time!BL$28</f>
        <v>55</v>
      </c>
      <c r="BM35" s="9">
        <f xml:space="preserve">  Time!BM$28</f>
        <v>56</v>
      </c>
      <c r="BN35" s="9">
        <f xml:space="preserve">  Time!BN$28</f>
        <v>57</v>
      </c>
      <c r="BO35" s="9">
        <f xml:space="preserve">  Time!BO$28</f>
        <v>58</v>
      </c>
      <c r="BP35" s="9">
        <f xml:space="preserve">  Time!BP$28</f>
        <v>59</v>
      </c>
      <c r="BQ35" s="9">
        <f xml:space="preserve">  Time!BQ$28</f>
        <v>60</v>
      </c>
    </row>
    <row r="36" spans="1:69">
      <c r="E36" s="47" t="s">
        <v>39</v>
      </c>
      <c r="G36" s="47" t="s">
        <v>258</v>
      </c>
      <c r="J36" s="2">
        <f t="shared" ref="J36:BQ36" si="6" xml:space="preserve">  I38</f>
        <v>0</v>
      </c>
      <c r="K36" s="2">
        <f t="shared" ca="1" si="6"/>
        <v>-34108.333333333336</v>
      </c>
      <c r="L36" s="2">
        <f t="shared" ca="1" si="6"/>
        <v>-63508.333333333336</v>
      </c>
      <c r="M36" s="2">
        <f t="shared" ca="1" si="6"/>
        <v>-67716.666666666672</v>
      </c>
      <c r="N36" s="2">
        <f t="shared" ca="1" si="6"/>
        <v>-63152.197887977491</v>
      </c>
      <c r="O36" s="2">
        <f t="shared" ca="1" si="6"/>
        <v>-77387.810127806821</v>
      </c>
      <c r="P36" s="2">
        <f t="shared" ca="1" si="6"/>
        <v>-98792.111121494177</v>
      </c>
      <c r="Q36" s="2">
        <f t="shared" ca="1" si="6"/>
        <v>-61294.373335464028</v>
      </c>
      <c r="R36" s="2">
        <f t="shared" ca="1" si="6"/>
        <v>-38745.971045408362</v>
      </c>
      <c r="S36" s="2">
        <f t="shared" ca="1" si="6"/>
        <v>21028.766187944522</v>
      </c>
      <c r="T36" s="2">
        <f t="shared" ca="1" si="6"/>
        <v>50305.385414222823</v>
      </c>
      <c r="U36" s="2">
        <f t="shared" ca="1" si="6"/>
        <v>174966.99382831081</v>
      </c>
      <c r="V36" s="2">
        <f t="shared" ca="1" si="6"/>
        <v>286225.74465849414</v>
      </c>
      <c r="W36" s="2">
        <f t="shared" ca="1" si="6"/>
        <v>471537.96189085185</v>
      </c>
      <c r="X36" s="2">
        <f t="shared" ca="1" si="6"/>
        <v>722202.58631600952</v>
      </c>
      <c r="Y36" s="2">
        <f t="shared" ca="1" si="6"/>
        <v>979206.94923298375</v>
      </c>
      <c r="Z36" s="2">
        <f t="shared" ca="1" si="6"/>
        <v>1322473.5373997237</v>
      </c>
      <c r="AA36" s="2">
        <f t="shared" ca="1" si="6"/>
        <v>1670881.7757909633</v>
      </c>
      <c r="AB36" s="2">
        <f t="shared" ca="1" si="6"/>
        <v>2013311.1236748483</v>
      </c>
      <c r="AC36" s="2">
        <f t="shared" ca="1" si="6"/>
        <v>2356575.6442897408</v>
      </c>
      <c r="AD36" s="2">
        <f t="shared" ca="1" si="6"/>
        <v>2693233.2632125793</v>
      </c>
      <c r="AE36" s="2">
        <f t="shared" ca="1" si="6"/>
        <v>3015670.8445506133</v>
      </c>
      <c r="AF36" s="2">
        <f t="shared" ca="1" si="6"/>
        <v>3330762.3000382911</v>
      </c>
      <c r="AG36" s="2">
        <f t="shared" ca="1" si="6"/>
        <v>3678703.9422080233</v>
      </c>
      <c r="AH36" s="2">
        <f t="shared" ca="1" si="6"/>
        <v>4058717.1314063538</v>
      </c>
      <c r="AI36" s="2">
        <f t="shared" ca="1" si="6"/>
        <v>4441740.7087195702</v>
      </c>
      <c r="AJ36" s="2">
        <f t="shared" ca="1" si="6"/>
        <v>4897706.6462319326</v>
      </c>
      <c r="AK36" s="2">
        <f t="shared" ca="1" si="6"/>
        <v>5417579.9262126014</v>
      </c>
      <c r="AL36" s="2">
        <f t="shared" ca="1" si="6"/>
        <v>5968590.7284352537</v>
      </c>
      <c r="AM36" s="2">
        <f t="shared" ca="1" si="6"/>
        <v>6553811.6036057789</v>
      </c>
      <c r="AN36" s="2">
        <f t="shared" ca="1" si="6"/>
        <v>7189120.7612694446</v>
      </c>
      <c r="AO36" s="2">
        <f t="shared" ca="1" si="6"/>
        <v>7880166.6209245846</v>
      </c>
      <c r="AP36" s="2">
        <f t="shared" ca="1" si="6"/>
        <v>8572922.8205908481</v>
      </c>
      <c r="AQ36" s="2">
        <f t="shared" ca="1" si="6"/>
        <v>9346642.4158412665</v>
      </c>
      <c r="AR36" s="2">
        <f t="shared" ca="1" si="6"/>
        <v>10148752.013053076</v>
      </c>
      <c r="AS36" s="2">
        <f t="shared" ca="1" si="6"/>
        <v>11013083.18333167</v>
      </c>
      <c r="AT36" s="2">
        <f t="shared" ca="1" si="6"/>
        <v>11953480.889049191</v>
      </c>
      <c r="AU36" s="2">
        <f t="shared" ca="1" si="6"/>
        <v>12954835.608917173</v>
      </c>
      <c r="AV36" s="2">
        <f t="shared" ca="1" si="6"/>
        <v>14048064.177234029</v>
      </c>
      <c r="AW36" s="2">
        <f t="shared" ca="1" si="6"/>
        <v>15243937.148096446</v>
      </c>
      <c r="AX36" s="2">
        <f t="shared" ca="1" si="6"/>
        <v>16522668.498186078</v>
      </c>
      <c r="AY36" s="2">
        <f t="shared" ca="1" si="6"/>
        <v>17943728.43360287</v>
      </c>
      <c r="AZ36" s="2">
        <f t="shared" ca="1" si="6"/>
        <v>19440002.861494482</v>
      </c>
      <c r="BA36" s="2">
        <f t="shared" ca="1" si="6"/>
        <v>21046208.327498429</v>
      </c>
      <c r="BB36" s="2">
        <f t="shared" ca="1" si="6"/>
        <v>22821037.150855947</v>
      </c>
      <c r="BC36" s="2">
        <f t="shared" ca="1" si="6"/>
        <v>24696521.000958964</v>
      </c>
      <c r="BD36" s="2">
        <f t="shared" ca="1" si="6"/>
        <v>26721023.103738304</v>
      </c>
      <c r="BE36" s="2">
        <f t="shared" ca="1" si="6"/>
        <v>28875141.525217637</v>
      </c>
      <c r="BF36" s="2">
        <f t="shared" ca="1" si="6"/>
        <v>31207766.70787999</v>
      </c>
      <c r="BG36" s="2">
        <f t="shared" ca="1" si="6"/>
        <v>33694975.679050267</v>
      </c>
      <c r="BH36" s="2">
        <f t="shared" ca="1" si="6"/>
        <v>36332107.558322944</v>
      </c>
      <c r="BI36" s="2">
        <f t="shared" ca="1" si="6"/>
        <v>39159552.29925786</v>
      </c>
      <c r="BJ36" s="2">
        <f t="shared" ca="1" si="6"/>
        <v>42153383.773994625</v>
      </c>
      <c r="BK36" s="2">
        <f t="shared" ca="1" si="6"/>
        <v>45344353.921282917</v>
      </c>
      <c r="BL36" s="2">
        <f t="shared" ca="1" si="6"/>
        <v>48718748.208116777</v>
      </c>
      <c r="BM36" s="2">
        <f t="shared" ca="1" si="6"/>
        <v>52313669.315271474</v>
      </c>
      <c r="BN36" s="2">
        <f t="shared" ca="1" si="6"/>
        <v>56088411.247575298</v>
      </c>
      <c r="BO36" s="2">
        <f t="shared" ca="1" si="6"/>
        <v>60090132.693377018</v>
      </c>
      <c r="BP36" s="2">
        <f t="shared" ca="1" si="6"/>
        <v>64339518.616572008</v>
      </c>
      <c r="BQ36" s="2">
        <f t="shared" ca="1" si="6"/>
        <v>68833120.85513629</v>
      </c>
    </row>
    <row r="37" spans="1:69">
      <c r="A37" s="18"/>
      <c r="B37" s="18"/>
      <c r="C37" s="28"/>
      <c r="D37" s="27" t="s">
        <v>219</v>
      </c>
      <c r="E37" s="4" t="str">
        <f xml:space="preserve">  'Income Statement'!E$22</f>
        <v>Retained Earnings this period</v>
      </c>
      <c r="F37" s="4">
        <f xml:space="preserve">  'Income Statement'!F$22</f>
        <v>0</v>
      </c>
      <c r="G37" s="4" t="str">
        <f xml:space="preserve">  'Income Statement'!G$22</f>
        <v>GBP</v>
      </c>
      <c r="H37" s="4">
        <f ca="1" xml:space="preserve">  'Income Statement'!H$22</f>
        <v>73584272.536620528</v>
      </c>
      <c r="I37" s="4">
        <f xml:space="preserve">  'Income Statement'!I$22</f>
        <v>0</v>
      </c>
      <c r="J37" s="4">
        <f ca="1" xml:space="preserve">  'Income Statement'!J$22</f>
        <v>-34108.333333333336</v>
      </c>
      <c r="K37" s="4">
        <f ca="1" xml:space="preserve">  'Income Statement'!K$22</f>
        <v>-29400</v>
      </c>
      <c r="L37" s="4">
        <f ca="1" xml:space="preserve">  'Income Statement'!L$22</f>
        <v>-4208.333333333333</v>
      </c>
      <c r="M37" s="4">
        <f ca="1" xml:space="preserve">  'Income Statement'!M$22</f>
        <v>4564.4687786891827</v>
      </c>
      <c r="N37" s="4">
        <f ca="1" xml:space="preserve">  'Income Statement'!N$22</f>
        <v>-14235.612239829337</v>
      </c>
      <c r="O37" s="4">
        <f ca="1" xml:space="preserve">  'Income Statement'!O$22</f>
        <v>-21404.30099368736</v>
      </c>
      <c r="P37" s="4">
        <f ca="1" xml:space="preserve">  'Income Statement'!P$22</f>
        <v>37497.737786030149</v>
      </c>
      <c r="Q37" s="4">
        <f ca="1" xml:space="preserve">  'Income Statement'!Q$22</f>
        <v>22548.402290055667</v>
      </c>
      <c r="R37" s="4">
        <f ca="1" xml:space="preserve">  'Income Statement'!R$22</f>
        <v>59774.737233352884</v>
      </c>
      <c r="S37" s="4">
        <f ca="1" xml:space="preserve">  'Income Statement'!S$22</f>
        <v>29276.619226278301</v>
      </c>
      <c r="T37" s="4">
        <f ca="1" xml:space="preserve">  'Income Statement'!T$22</f>
        <v>124661.608414088</v>
      </c>
      <c r="U37" s="4">
        <f ca="1" xml:space="preserve">  'Income Statement'!U$22</f>
        <v>111258.75083018336</v>
      </c>
      <c r="V37" s="4">
        <f ca="1" xml:space="preserve">  'Income Statement'!V$22</f>
        <v>185312.21723235771</v>
      </c>
      <c r="W37" s="4">
        <f ca="1" xml:space="preserve">  'Income Statement'!W$22</f>
        <v>250664.6244251577</v>
      </c>
      <c r="X37" s="4">
        <f ca="1" xml:space="preserve">  'Income Statement'!X$22</f>
        <v>257004.36291697421</v>
      </c>
      <c r="Y37" s="4">
        <f ca="1" xml:space="preserve">  'Income Statement'!Y$22</f>
        <v>343266.58816673979</v>
      </c>
      <c r="Z37" s="4">
        <f ca="1" xml:space="preserve">  'Income Statement'!Z$22</f>
        <v>348408.23839123978</v>
      </c>
      <c r="AA37" s="4">
        <f ca="1" xml:space="preserve">  'Income Statement'!AA$22</f>
        <v>342429.34788388503</v>
      </c>
      <c r="AB37" s="4">
        <f ca="1" xml:space="preserve">  'Income Statement'!AB$22</f>
        <v>343264.52061489236</v>
      </c>
      <c r="AC37" s="4">
        <f ca="1" xml:space="preserve">  'Income Statement'!AC$22</f>
        <v>336657.6189228383</v>
      </c>
      <c r="AD37" s="4">
        <f ca="1" xml:space="preserve">  'Income Statement'!AD$22</f>
        <v>322437.58133803419</v>
      </c>
      <c r="AE37" s="4">
        <f ca="1" xml:space="preserve">  'Income Statement'!AE$22</f>
        <v>315091.45548767783</v>
      </c>
      <c r="AF37" s="4">
        <f ca="1" xml:space="preserve">  'Income Statement'!AF$22</f>
        <v>347941.64216973196</v>
      </c>
      <c r="AG37" s="4">
        <f ca="1" xml:space="preserve">  'Income Statement'!AG$22</f>
        <v>380013.18919833057</v>
      </c>
      <c r="AH37" s="4">
        <f ca="1" xml:space="preserve">  'Income Statement'!AH$22</f>
        <v>383023.57731321629</v>
      </c>
      <c r="AI37" s="4">
        <f ca="1" xml:space="preserve">  'Income Statement'!AI$22</f>
        <v>455965.93751236191</v>
      </c>
      <c r="AJ37" s="4">
        <f ca="1" xml:space="preserve">  'Income Statement'!AJ$22</f>
        <v>519873.27998066926</v>
      </c>
      <c r="AK37" s="4">
        <f ca="1" xml:space="preserve">  'Income Statement'!AK$22</f>
        <v>551010.8022226519</v>
      </c>
      <c r="AL37" s="4">
        <f ca="1" xml:space="preserve">  'Income Statement'!AL$22</f>
        <v>585220.8751705247</v>
      </c>
      <c r="AM37" s="4">
        <f ca="1" xml:space="preserve">  'Income Statement'!AM$22</f>
        <v>635309.1576636656</v>
      </c>
      <c r="AN37" s="4">
        <f ca="1" xml:space="preserve">  'Income Statement'!AN$22</f>
        <v>691045.8596551402</v>
      </c>
      <c r="AO37" s="4">
        <f ca="1" xml:space="preserve">  'Income Statement'!AO$22</f>
        <v>692756.19966626272</v>
      </c>
      <c r="AP37" s="4">
        <f ca="1" xml:space="preserve">  'Income Statement'!AP$22</f>
        <v>773719.59525041748</v>
      </c>
      <c r="AQ37" s="4">
        <f ca="1" xml:space="preserve">  'Income Statement'!AQ$22</f>
        <v>802109.59721181029</v>
      </c>
      <c r="AR37" s="4">
        <f ca="1" xml:space="preserve">  'Income Statement'!AR$22</f>
        <v>864331.1702785932</v>
      </c>
      <c r="AS37" s="4">
        <f ca="1" xml:space="preserve">  'Income Statement'!AS$22</f>
        <v>940397.70571752032</v>
      </c>
      <c r="AT37" s="4">
        <f ca="1" xml:space="preserve">  'Income Statement'!AT$22</f>
        <v>1001354.719867981</v>
      </c>
      <c r="AU37" s="4">
        <f ca="1" xml:space="preserve">  'Income Statement'!AU$22</f>
        <v>1093228.5683168566</v>
      </c>
      <c r="AV37" s="4">
        <f ca="1" xml:space="preserve">  'Income Statement'!AV$22</f>
        <v>1195872.9708624172</v>
      </c>
      <c r="AW37" s="4">
        <f ca="1" xml:space="preserve">  'Income Statement'!AW$22</f>
        <v>1278731.3500896324</v>
      </c>
      <c r="AX37" s="4">
        <f ca="1" xml:space="preserve">  'Income Statement'!AX$22</f>
        <v>1421059.9354167928</v>
      </c>
      <c r="AY37" s="4">
        <f ca="1" xml:space="preserve">  'Income Statement'!AY$22</f>
        <v>1496274.4278916111</v>
      </c>
      <c r="AZ37" s="4">
        <f ca="1" xml:space="preserve">  'Income Statement'!AZ$22</f>
        <v>1606205.4660039477</v>
      </c>
      <c r="BA37" s="4">
        <f ca="1" xml:space="preserve">  'Income Statement'!BA$22</f>
        <v>1774828.8233575204</v>
      </c>
      <c r="BB37" s="4">
        <f ca="1" xml:space="preserve">  'Income Statement'!BB$22</f>
        <v>1875483.8501030183</v>
      </c>
      <c r="BC37" s="4">
        <f ca="1" xml:space="preserve">  'Income Statement'!BC$22</f>
        <v>2024502.1027793384</v>
      </c>
      <c r="BD37" s="4">
        <f ca="1" xml:space="preserve">  'Income Statement'!BD$22</f>
        <v>2154118.4214793346</v>
      </c>
      <c r="BE37" s="4">
        <f ca="1" xml:space="preserve">  'Income Statement'!BE$22</f>
        <v>2332625.1826623525</v>
      </c>
      <c r="BF37" s="4">
        <f ca="1" xml:space="preserve">  'Income Statement'!BF$22</f>
        <v>2487208.971170275</v>
      </c>
      <c r="BG37" s="4">
        <f ca="1" xml:space="preserve">  'Income Statement'!BG$22</f>
        <v>2637131.8792726751</v>
      </c>
      <c r="BH37" s="4">
        <f ca="1" xml:space="preserve">  'Income Statement'!BH$22</f>
        <v>2827444.7409349177</v>
      </c>
      <c r="BI37" s="4">
        <f ca="1" xml:space="preserve">  'Income Statement'!BI$22</f>
        <v>2993831.4747367627</v>
      </c>
      <c r="BJ37" s="4">
        <f ca="1" xml:space="preserve">  'Income Statement'!BJ$22</f>
        <v>3190970.1472882889</v>
      </c>
      <c r="BK37" s="4">
        <f ca="1" xml:space="preserve">  'Income Statement'!BK$22</f>
        <v>3374394.2868338577</v>
      </c>
      <c r="BL37" s="4">
        <f ca="1" xml:space="preserve">  'Income Statement'!BL$22</f>
        <v>3594921.1071546949</v>
      </c>
      <c r="BM37" s="4">
        <f ca="1" xml:space="preserve">  'Income Statement'!BM$22</f>
        <v>3774741.9323038249</v>
      </c>
      <c r="BN37" s="4">
        <f ca="1" xml:space="preserve">  'Income Statement'!BN$22</f>
        <v>4001721.4458017196</v>
      </c>
      <c r="BO37" s="4">
        <f ca="1" xml:space="preserve">  'Income Statement'!BO$22</f>
        <v>4249385.9231949924</v>
      </c>
      <c r="BP37" s="4">
        <f ca="1" xml:space="preserve">  'Income Statement'!BP$22</f>
        <v>4493602.2385642836</v>
      </c>
      <c r="BQ37" s="4">
        <f ca="1" xml:space="preserve">  'Income Statement'!BQ$22</f>
        <v>4751151.6814842327</v>
      </c>
    </row>
    <row r="38" spans="1:69" s="81" customFormat="1">
      <c r="A38" s="63"/>
      <c r="B38" s="63"/>
      <c r="C38" s="88"/>
      <c r="D38" s="90"/>
      <c r="E38" s="33" t="s">
        <v>12</v>
      </c>
      <c r="F38" s="33"/>
      <c r="G38" s="33" t="s">
        <v>258</v>
      </c>
      <c r="H38" s="33"/>
      <c r="I38" s="11">
        <f t="shared" ref="I38:BQ38" si="7" xml:space="preserve">  IF( I35 = 0, $F34, I36 + I37 )</f>
        <v>0</v>
      </c>
      <c r="J38" s="11">
        <f t="shared" ca="1" si="7"/>
        <v>-34108.333333333336</v>
      </c>
      <c r="K38" s="11">
        <f t="shared" ca="1" si="7"/>
        <v>-63508.333333333336</v>
      </c>
      <c r="L38" s="11">
        <f t="shared" ca="1" si="7"/>
        <v>-67716.666666666672</v>
      </c>
      <c r="M38" s="11">
        <f t="shared" ca="1" si="7"/>
        <v>-63152.197887977491</v>
      </c>
      <c r="N38" s="11">
        <f t="shared" ca="1" si="7"/>
        <v>-77387.810127806821</v>
      </c>
      <c r="O38" s="11">
        <f t="shared" ca="1" si="7"/>
        <v>-98792.111121494177</v>
      </c>
      <c r="P38" s="11">
        <f t="shared" ca="1" si="7"/>
        <v>-61294.373335464028</v>
      </c>
      <c r="Q38" s="11">
        <f t="shared" ca="1" si="7"/>
        <v>-38745.971045408362</v>
      </c>
      <c r="R38" s="11">
        <f t="shared" ca="1" si="7"/>
        <v>21028.766187944522</v>
      </c>
      <c r="S38" s="11">
        <f t="shared" ca="1" si="7"/>
        <v>50305.385414222823</v>
      </c>
      <c r="T38" s="11">
        <f t="shared" ca="1" si="7"/>
        <v>174966.99382831081</v>
      </c>
      <c r="U38" s="11">
        <f t="shared" ca="1" si="7"/>
        <v>286225.74465849414</v>
      </c>
      <c r="V38" s="11">
        <f t="shared" ca="1" si="7"/>
        <v>471537.96189085185</v>
      </c>
      <c r="W38" s="11">
        <f t="shared" ca="1" si="7"/>
        <v>722202.58631600952</v>
      </c>
      <c r="X38" s="11">
        <f t="shared" ca="1" si="7"/>
        <v>979206.94923298375</v>
      </c>
      <c r="Y38" s="11">
        <f t="shared" ca="1" si="7"/>
        <v>1322473.5373997237</v>
      </c>
      <c r="Z38" s="11">
        <f t="shared" ca="1" si="7"/>
        <v>1670881.7757909633</v>
      </c>
      <c r="AA38" s="11">
        <f t="shared" ca="1" si="7"/>
        <v>2013311.1236748483</v>
      </c>
      <c r="AB38" s="11">
        <f t="shared" ca="1" si="7"/>
        <v>2356575.6442897408</v>
      </c>
      <c r="AC38" s="11">
        <f t="shared" ca="1" si="7"/>
        <v>2693233.2632125793</v>
      </c>
      <c r="AD38" s="11">
        <f t="shared" ca="1" si="7"/>
        <v>3015670.8445506133</v>
      </c>
      <c r="AE38" s="11">
        <f t="shared" ca="1" si="7"/>
        <v>3330762.3000382911</v>
      </c>
      <c r="AF38" s="11">
        <f t="shared" ca="1" si="7"/>
        <v>3678703.9422080233</v>
      </c>
      <c r="AG38" s="11">
        <f t="shared" ca="1" si="7"/>
        <v>4058717.1314063538</v>
      </c>
      <c r="AH38" s="11">
        <f t="shared" ca="1" si="7"/>
        <v>4441740.7087195702</v>
      </c>
      <c r="AI38" s="11">
        <f t="shared" ca="1" si="7"/>
        <v>4897706.6462319326</v>
      </c>
      <c r="AJ38" s="11">
        <f t="shared" ca="1" si="7"/>
        <v>5417579.9262126014</v>
      </c>
      <c r="AK38" s="11">
        <f t="shared" ca="1" si="7"/>
        <v>5968590.7284352537</v>
      </c>
      <c r="AL38" s="11">
        <f t="shared" ca="1" si="7"/>
        <v>6553811.6036057789</v>
      </c>
      <c r="AM38" s="11">
        <f t="shared" ca="1" si="7"/>
        <v>7189120.7612694446</v>
      </c>
      <c r="AN38" s="11">
        <f t="shared" ca="1" si="7"/>
        <v>7880166.6209245846</v>
      </c>
      <c r="AO38" s="11">
        <f t="shared" ca="1" si="7"/>
        <v>8572922.8205908481</v>
      </c>
      <c r="AP38" s="11">
        <f t="shared" ca="1" si="7"/>
        <v>9346642.4158412665</v>
      </c>
      <c r="AQ38" s="11">
        <f t="shared" ca="1" si="7"/>
        <v>10148752.013053076</v>
      </c>
      <c r="AR38" s="11">
        <f t="shared" ca="1" si="7"/>
        <v>11013083.18333167</v>
      </c>
      <c r="AS38" s="11">
        <f t="shared" ca="1" si="7"/>
        <v>11953480.889049191</v>
      </c>
      <c r="AT38" s="11">
        <f t="shared" ca="1" si="7"/>
        <v>12954835.608917173</v>
      </c>
      <c r="AU38" s="11">
        <f t="shared" ca="1" si="7"/>
        <v>14048064.177234029</v>
      </c>
      <c r="AV38" s="11">
        <f t="shared" ca="1" si="7"/>
        <v>15243937.148096446</v>
      </c>
      <c r="AW38" s="11">
        <f t="shared" ca="1" si="7"/>
        <v>16522668.498186078</v>
      </c>
      <c r="AX38" s="11">
        <f t="shared" ca="1" si="7"/>
        <v>17943728.43360287</v>
      </c>
      <c r="AY38" s="11">
        <f t="shared" ca="1" si="7"/>
        <v>19440002.861494482</v>
      </c>
      <c r="AZ38" s="11">
        <f t="shared" ca="1" si="7"/>
        <v>21046208.327498429</v>
      </c>
      <c r="BA38" s="11">
        <f t="shared" ca="1" si="7"/>
        <v>22821037.150855947</v>
      </c>
      <c r="BB38" s="11">
        <f t="shared" ca="1" si="7"/>
        <v>24696521.000958964</v>
      </c>
      <c r="BC38" s="11">
        <f t="shared" ca="1" si="7"/>
        <v>26721023.103738304</v>
      </c>
      <c r="BD38" s="11">
        <f t="shared" ca="1" si="7"/>
        <v>28875141.525217637</v>
      </c>
      <c r="BE38" s="11">
        <f t="shared" ca="1" si="7"/>
        <v>31207766.70787999</v>
      </c>
      <c r="BF38" s="11">
        <f t="shared" ca="1" si="7"/>
        <v>33694975.679050267</v>
      </c>
      <c r="BG38" s="11">
        <f t="shared" ca="1" si="7"/>
        <v>36332107.558322944</v>
      </c>
      <c r="BH38" s="11">
        <f t="shared" ca="1" si="7"/>
        <v>39159552.29925786</v>
      </c>
      <c r="BI38" s="11">
        <f t="shared" ca="1" si="7"/>
        <v>42153383.773994625</v>
      </c>
      <c r="BJ38" s="11">
        <f t="shared" ca="1" si="7"/>
        <v>45344353.921282917</v>
      </c>
      <c r="BK38" s="11">
        <f t="shared" ca="1" si="7"/>
        <v>48718748.208116777</v>
      </c>
      <c r="BL38" s="11">
        <f t="shared" ca="1" si="7"/>
        <v>52313669.315271474</v>
      </c>
      <c r="BM38" s="11">
        <f t="shared" ca="1" si="7"/>
        <v>56088411.247575298</v>
      </c>
      <c r="BN38" s="11">
        <f t="shared" ca="1" si="7"/>
        <v>60090132.693377018</v>
      </c>
      <c r="BO38" s="11">
        <f t="shared" ca="1" si="7"/>
        <v>64339518.616572008</v>
      </c>
      <c r="BP38" s="11">
        <f t="shared" ca="1" si="7"/>
        <v>68833120.85513629</v>
      </c>
      <c r="BQ38" s="11">
        <f t="shared" ca="1" si="7"/>
        <v>73584272.536620528</v>
      </c>
    </row>
    <row r="41" spans="1:69">
      <c r="B41" s="25" t="s">
        <v>271</v>
      </c>
    </row>
  </sheetData>
  <conditionalFormatting sqref="F3">
    <cfRule type="cellIs" dxfId="311" priority="13" stopIfTrue="1" operator="notEqual">
      <formula>0</formula>
    </cfRule>
    <cfRule type="cellIs" dxfId="310" priority="14" stopIfTrue="1" operator="equal">
      <formula>""</formula>
    </cfRule>
  </conditionalFormatting>
  <conditionalFormatting sqref="J3:BQ3">
    <cfRule type="cellIs" dxfId="309" priority="11" stopIfTrue="1" operator="equal">
      <formula>"Construction"</formula>
    </cfRule>
    <cfRule type="cellIs" dxfId="308" priority="12" stopIfTrue="1" operator="equal">
      <formula>"Operations"</formula>
    </cfRule>
  </conditionalFormatting>
  <conditionalFormatting sqref="J3:BQ3">
    <cfRule type="cellIs" dxfId="307" priority="10" operator="equal">
      <formula>"Fin Close"</formula>
    </cfRule>
  </conditionalFormatting>
  <conditionalFormatting sqref="J3:BQ3">
    <cfRule type="cellIs" dxfId="306" priority="8" operator="equal">
      <formula>"PPA ext."</formula>
    </cfRule>
    <cfRule type="cellIs" dxfId="305" priority="9" operator="equal">
      <formula>"Delay"</formula>
    </cfRule>
  </conditionalFormatting>
  <conditionalFormatting sqref="F2">
    <cfRule type="cellIs" dxfId="304" priority="1" stopIfTrue="1" operator="notEqual">
      <formula>0</formula>
    </cfRule>
    <cfRule type="cellIs" dxfId="303"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Q4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8.332031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Customers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80</v>
      </c>
    </row>
    <row r="9" spans="1:69" outlineLevel="1">
      <c r="A9" s="18"/>
      <c r="B9" s="18"/>
      <c r="C9" s="28"/>
      <c r="D9" s="27"/>
      <c r="E9" s="4" t="str">
        <f xml:space="preserve">  InpC!E$15</f>
        <v>Customer base order number</v>
      </c>
      <c r="F9" s="4">
        <f xml:space="preserve">  InpC!F$15</f>
        <v>500</v>
      </c>
      <c r="G9" s="4" t="str">
        <f xml:space="preserve">  InpC!G$15</f>
        <v>Units</v>
      </c>
      <c r="M9" s="2"/>
    </row>
    <row r="10" spans="1:69" outlineLevel="1">
      <c r="A10" s="18"/>
      <c r="B10" s="18"/>
      <c r="C10" s="28"/>
      <c r="D10" s="27"/>
      <c r="E10" s="42" t="str">
        <f xml:space="preserve">  Time!E$170</f>
        <v>Monthly Growth Rate</v>
      </c>
      <c r="F10" s="42">
        <f xml:space="preserve">  Time!F$170</f>
        <v>5.946309435929531E-2</v>
      </c>
      <c r="G10" s="42" t="str">
        <f xml:space="preserve">  Time!G$170</f>
        <v>%</v>
      </c>
      <c r="M10" s="57"/>
    </row>
    <row r="11" spans="1:69" outlineLevel="1">
      <c r="A11" s="18"/>
      <c r="B11" s="18"/>
      <c r="C11" s="28"/>
      <c r="D11" s="27"/>
      <c r="E11" s="4" t="str">
        <f xml:space="preserve">  InpS!E$16</f>
        <v>STF New Customer orders</v>
      </c>
      <c r="F11" s="4">
        <f xml:space="preserve">  InpS!F$16</f>
        <v>0</v>
      </c>
      <c r="G11" s="4" t="str">
        <f xml:space="preserve">  InpS!G$16</f>
        <v>GBP</v>
      </c>
      <c r="H11" s="4">
        <f xml:space="preserve">  InpS!H$16</f>
        <v>38000</v>
      </c>
      <c r="I11" s="4">
        <f xml:space="preserve">  InpS!I$16</f>
        <v>0</v>
      </c>
      <c r="J11" s="4">
        <f xml:space="preserve">  InpS!J$16</f>
        <v>1000</v>
      </c>
      <c r="K11" s="4">
        <f xml:space="preserve">  InpS!K$16</f>
        <v>1000</v>
      </c>
      <c r="L11" s="4">
        <f xml:space="preserve">  InpS!L$16</f>
        <v>1000</v>
      </c>
      <c r="M11" s="4">
        <f xml:space="preserve">  InpS!M$16</f>
        <v>1000</v>
      </c>
      <c r="N11" s="4">
        <f xml:space="preserve">  InpS!N$16</f>
        <v>3000</v>
      </c>
      <c r="O11" s="4">
        <f xml:space="preserve">  InpS!O$16</f>
        <v>3000</v>
      </c>
      <c r="P11" s="4">
        <f xml:space="preserve">  InpS!P$16</f>
        <v>3000</v>
      </c>
      <c r="Q11" s="4">
        <f xml:space="preserve">  InpS!Q$16</f>
        <v>5000</v>
      </c>
      <c r="R11" s="4">
        <f xml:space="preserve">  InpS!R$16</f>
        <v>5000</v>
      </c>
      <c r="S11" s="4">
        <f xml:space="preserve">  InpS!S$16</f>
        <v>5000</v>
      </c>
      <c r="T11" s="4">
        <f xml:space="preserve">  InpS!T$16</f>
        <v>5000</v>
      </c>
      <c r="U11" s="4">
        <f xml:space="preserve">  InpS!U$16</f>
        <v>5000</v>
      </c>
      <c r="V11" s="4">
        <f xml:space="preserve">  InpS!V$16</f>
        <v>0</v>
      </c>
      <c r="W11" s="4">
        <f xml:space="preserve">  InpS!W$16</f>
        <v>0</v>
      </c>
      <c r="X11" s="4">
        <f xml:space="preserve">  InpS!X$16</f>
        <v>0</v>
      </c>
      <c r="Y11" s="4">
        <f xml:space="preserve">  InpS!Y$16</f>
        <v>0</v>
      </c>
      <c r="Z11" s="4">
        <f xml:space="preserve">  InpS!Z$16</f>
        <v>0</v>
      </c>
      <c r="AA11" s="4">
        <f xml:space="preserve">  InpS!AA$16</f>
        <v>0</v>
      </c>
      <c r="AB11" s="4">
        <f xml:space="preserve">  InpS!AB$16</f>
        <v>0</v>
      </c>
      <c r="AC11" s="4">
        <f xml:space="preserve">  InpS!AC$16</f>
        <v>0</v>
      </c>
      <c r="AD11" s="4">
        <f xml:space="preserve">  InpS!AD$16</f>
        <v>0</v>
      </c>
      <c r="AE11" s="4">
        <f xml:space="preserve">  InpS!AE$16</f>
        <v>0</v>
      </c>
      <c r="AF11" s="4">
        <f xml:space="preserve">  InpS!AF$16</f>
        <v>0</v>
      </c>
      <c r="AG11" s="4">
        <f xml:space="preserve">  InpS!AG$16</f>
        <v>0</v>
      </c>
      <c r="AH11" s="4">
        <f xml:space="preserve">  InpS!AH$16</f>
        <v>0</v>
      </c>
      <c r="AI11" s="4">
        <f xml:space="preserve">  InpS!AI$16</f>
        <v>0</v>
      </c>
      <c r="AJ11" s="4">
        <f xml:space="preserve">  InpS!AJ$16</f>
        <v>0</v>
      </c>
      <c r="AK11" s="4">
        <f xml:space="preserve">  InpS!AK$16</f>
        <v>0</v>
      </c>
      <c r="AL11" s="4">
        <f xml:space="preserve">  InpS!AL$16</f>
        <v>0</v>
      </c>
      <c r="AM11" s="4">
        <f xml:space="preserve">  InpS!AM$16</f>
        <v>0</v>
      </c>
      <c r="AN11" s="4">
        <f xml:space="preserve">  InpS!AN$16</f>
        <v>0</v>
      </c>
      <c r="AO11" s="4">
        <f xml:space="preserve">  InpS!AO$16</f>
        <v>0</v>
      </c>
      <c r="AP11" s="4">
        <f xml:space="preserve">  InpS!AP$16</f>
        <v>0</v>
      </c>
      <c r="AQ11" s="4">
        <f xml:space="preserve">  InpS!AQ$16</f>
        <v>0</v>
      </c>
      <c r="AR11" s="4">
        <f xml:space="preserve">  InpS!AR$16</f>
        <v>0</v>
      </c>
      <c r="AS11" s="4">
        <f xml:space="preserve">  InpS!AS$16</f>
        <v>0</v>
      </c>
      <c r="AT11" s="4">
        <f xml:space="preserve">  InpS!AT$16</f>
        <v>0</v>
      </c>
      <c r="AU11" s="4">
        <f xml:space="preserve">  InpS!AU$16</f>
        <v>0</v>
      </c>
      <c r="AV11" s="4">
        <f xml:space="preserve">  InpS!AV$16</f>
        <v>0</v>
      </c>
      <c r="AW11" s="4">
        <f xml:space="preserve">  InpS!AW$16</f>
        <v>0</v>
      </c>
      <c r="AX11" s="4">
        <f xml:space="preserve">  InpS!AX$16</f>
        <v>0</v>
      </c>
      <c r="AY11" s="4">
        <f xml:space="preserve">  InpS!AY$16</f>
        <v>0</v>
      </c>
      <c r="AZ11" s="4">
        <f xml:space="preserve">  InpS!AZ$16</f>
        <v>0</v>
      </c>
      <c r="BA11" s="4">
        <f xml:space="preserve">  InpS!BA$16</f>
        <v>0</v>
      </c>
      <c r="BB11" s="4">
        <f xml:space="preserve">  InpS!BB$16</f>
        <v>0</v>
      </c>
      <c r="BC11" s="4">
        <f xml:space="preserve">  InpS!BC$16</f>
        <v>0</v>
      </c>
      <c r="BD11" s="4">
        <f xml:space="preserve">  InpS!BD$16</f>
        <v>0</v>
      </c>
      <c r="BE11" s="4">
        <f xml:space="preserve">  InpS!BE$16</f>
        <v>0</v>
      </c>
      <c r="BF11" s="4">
        <f xml:space="preserve">  InpS!BF$16</f>
        <v>0</v>
      </c>
      <c r="BG11" s="4">
        <f xml:space="preserve">  InpS!BG$16</f>
        <v>0</v>
      </c>
      <c r="BH11" s="4">
        <f xml:space="preserve">  InpS!BH$16</f>
        <v>0</v>
      </c>
      <c r="BI11" s="4">
        <f xml:space="preserve">  InpS!BI$16</f>
        <v>0</v>
      </c>
      <c r="BJ11" s="4">
        <f xml:space="preserve">  InpS!BJ$16</f>
        <v>0</v>
      </c>
      <c r="BK11" s="4">
        <f xml:space="preserve">  InpS!BK$16</f>
        <v>0</v>
      </c>
      <c r="BL11" s="4">
        <f xml:space="preserve">  InpS!BL$16</f>
        <v>0</v>
      </c>
      <c r="BM11" s="4">
        <f xml:space="preserve">  InpS!BM$16</f>
        <v>0</v>
      </c>
      <c r="BN11" s="4">
        <f xml:space="preserve">  InpS!BN$16</f>
        <v>0</v>
      </c>
      <c r="BO11" s="4">
        <f xml:space="preserve">  InpS!BO$16</f>
        <v>0</v>
      </c>
      <c r="BP11" s="4">
        <f xml:space="preserve">  InpS!BP$16</f>
        <v>0</v>
      </c>
      <c r="BQ11" s="4">
        <f xml:space="preserve">  InpS!BQ$16</f>
        <v>0</v>
      </c>
    </row>
    <row r="12" spans="1:69" outlineLevel="1">
      <c r="A12" s="18"/>
      <c r="B12" s="18"/>
      <c r="C12" s="28"/>
      <c r="D12" s="27"/>
      <c r="E12" s="9" t="str">
        <f xml:space="preserve">  Time!E$28</f>
        <v>Period number</v>
      </c>
      <c r="F12" s="9">
        <f xml:space="preserve">  Time!F$28</f>
        <v>0</v>
      </c>
      <c r="G12" s="9" t="str">
        <f xml:space="preserve">  Time!G$28</f>
        <v>Counter</v>
      </c>
      <c r="H12" s="9">
        <f xml:space="preserve">  Time!H$28</f>
        <v>0</v>
      </c>
      <c r="I12" s="9">
        <f xml:space="preserve">  Time!I$28</f>
        <v>0</v>
      </c>
      <c r="J12" s="9">
        <f xml:space="preserve">  Time!J$28</f>
        <v>1</v>
      </c>
      <c r="K12" s="9">
        <f xml:space="preserve">  Time!K$28</f>
        <v>2</v>
      </c>
      <c r="L12" s="9">
        <f xml:space="preserve">  Time!L$28</f>
        <v>3</v>
      </c>
      <c r="M12" s="9">
        <f xml:space="preserve">  Time!M$28</f>
        <v>4</v>
      </c>
      <c r="N12" s="9">
        <f xml:space="preserve">  Time!N$28</f>
        <v>5</v>
      </c>
      <c r="O12" s="9">
        <f xml:space="preserve">  Time!O$28</f>
        <v>6</v>
      </c>
      <c r="P12" s="9">
        <f xml:space="preserve">  Time!P$28</f>
        <v>7</v>
      </c>
      <c r="Q12" s="9">
        <f xml:space="preserve">  Time!Q$28</f>
        <v>8</v>
      </c>
      <c r="R12" s="9">
        <f xml:space="preserve">  Time!R$28</f>
        <v>9</v>
      </c>
      <c r="S12" s="9">
        <f xml:space="preserve">  Time!S$28</f>
        <v>10</v>
      </c>
      <c r="T12" s="9">
        <f xml:space="preserve">  Time!T$28</f>
        <v>11</v>
      </c>
      <c r="U12" s="9">
        <f xml:space="preserve">  Time!U$28</f>
        <v>12</v>
      </c>
      <c r="V12" s="9">
        <f xml:space="preserve">  Time!V$28</f>
        <v>13</v>
      </c>
      <c r="W12" s="9">
        <f xml:space="preserve">  Time!W$28</f>
        <v>14</v>
      </c>
      <c r="X12" s="9">
        <f xml:space="preserve">  Time!X$28</f>
        <v>15</v>
      </c>
      <c r="Y12" s="9">
        <f xml:space="preserve">  Time!Y$28</f>
        <v>16</v>
      </c>
      <c r="Z12" s="9">
        <f xml:space="preserve">  Time!Z$28</f>
        <v>17</v>
      </c>
      <c r="AA12" s="9">
        <f xml:space="preserve">  Time!AA$28</f>
        <v>18</v>
      </c>
      <c r="AB12" s="9">
        <f xml:space="preserve">  Time!AB$28</f>
        <v>19</v>
      </c>
      <c r="AC12" s="9">
        <f xml:space="preserve">  Time!AC$28</f>
        <v>20</v>
      </c>
      <c r="AD12" s="9">
        <f xml:space="preserve">  Time!AD$28</f>
        <v>21</v>
      </c>
      <c r="AE12" s="9">
        <f xml:space="preserve">  Time!AE$28</f>
        <v>22</v>
      </c>
      <c r="AF12" s="9">
        <f xml:space="preserve">  Time!AF$28</f>
        <v>23</v>
      </c>
      <c r="AG12" s="9">
        <f xml:space="preserve">  Time!AG$28</f>
        <v>24</v>
      </c>
      <c r="AH12" s="9">
        <f xml:space="preserve">  Time!AH$28</f>
        <v>25</v>
      </c>
      <c r="AI12" s="9">
        <f xml:space="preserve">  Time!AI$28</f>
        <v>26</v>
      </c>
      <c r="AJ12" s="9">
        <f xml:space="preserve">  Time!AJ$28</f>
        <v>27</v>
      </c>
      <c r="AK12" s="9">
        <f xml:space="preserve">  Time!AK$28</f>
        <v>28</v>
      </c>
      <c r="AL12" s="9">
        <f xml:space="preserve">  Time!AL$28</f>
        <v>29</v>
      </c>
      <c r="AM12" s="9">
        <f xml:space="preserve">  Time!AM$28</f>
        <v>30</v>
      </c>
      <c r="AN12" s="9">
        <f xml:space="preserve">  Time!AN$28</f>
        <v>31</v>
      </c>
      <c r="AO12" s="9">
        <f xml:space="preserve">  Time!AO$28</f>
        <v>32</v>
      </c>
      <c r="AP12" s="9">
        <f xml:space="preserve">  Time!AP$28</f>
        <v>33</v>
      </c>
      <c r="AQ12" s="9">
        <f xml:space="preserve">  Time!AQ$28</f>
        <v>34</v>
      </c>
      <c r="AR12" s="9">
        <f xml:space="preserve">  Time!AR$28</f>
        <v>35</v>
      </c>
      <c r="AS12" s="9">
        <f xml:space="preserve">  Time!AS$28</f>
        <v>36</v>
      </c>
      <c r="AT12" s="9">
        <f xml:space="preserve">  Time!AT$28</f>
        <v>37</v>
      </c>
      <c r="AU12" s="9">
        <f xml:space="preserve">  Time!AU$28</f>
        <v>38</v>
      </c>
      <c r="AV12" s="9">
        <f xml:space="preserve">  Time!AV$28</f>
        <v>39</v>
      </c>
      <c r="AW12" s="9">
        <f xml:space="preserve">  Time!AW$28</f>
        <v>40</v>
      </c>
      <c r="AX12" s="9">
        <f xml:space="preserve">  Time!AX$28</f>
        <v>41</v>
      </c>
      <c r="AY12" s="9">
        <f xml:space="preserve">  Time!AY$28</f>
        <v>42</v>
      </c>
      <c r="AZ12" s="9">
        <f xml:space="preserve">  Time!AZ$28</f>
        <v>43</v>
      </c>
      <c r="BA12" s="9">
        <f xml:space="preserve">  Time!BA$28</f>
        <v>44</v>
      </c>
      <c r="BB12" s="9">
        <f xml:space="preserve">  Time!BB$28</f>
        <v>45</v>
      </c>
      <c r="BC12" s="9">
        <f xml:space="preserve">  Time!BC$28</f>
        <v>46</v>
      </c>
      <c r="BD12" s="9">
        <f xml:space="preserve">  Time!BD$28</f>
        <v>47</v>
      </c>
      <c r="BE12" s="9">
        <f xml:space="preserve">  Time!BE$28</f>
        <v>48</v>
      </c>
      <c r="BF12" s="9">
        <f xml:space="preserve">  Time!BF$28</f>
        <v>49</v>
      </c>
      <c r="BG12" s="9">
        <f xml:space="preserve">  Time!BG$28</f>
        <v>50</v>
      </c>
      <c r="BH12" s="9">
        <f xml:space="preserve">  Time!BH$28</f>
        <v>51</v>
      </c>
      <c r="BI12" s="9">
        <f xml:space="preserve">  Time!BI$28</f>
        <v>52</v>
      </c>
      <c r="BJ12" s="9">
        <f xml:space="preserve">  Time!BJ$28</f>
        <v>53</v>
      </c>
      <c r="BK12" s="9">
        <f xml:space="preserve">  Time!BK$28</f>
        <v>54</v>
      </c>
      <c r="BL12" s="9">
        <f xml:space="preserve">  Time!BL$28</f>
        <v>55</v>
      </c>
      <c r="BM12" s="9">
        <f xml:space="preserve">  Time!BM$28</f>
        <v>56</v>
      </c>
      <c r="BN12" s="9">
        <f xml:space="preserve">  Time!BN$28</f>
        <v>57</v>
      </c>
      <c r="BO12" s="9">
        <f xml:space="preserve">  Time!BO$28</f>
        <v>58</v>
      </c>
      <c r="BP12" s="9">
        <f xml:space="preserve">  Time!BP$28</f>
        <v>59</v>
      </c>
      <c r="BQ12" s="9">
        <f xml:space="preserve">  Time!BQ$28</f>
        <v>60</v>
      </c>
    </row>
    <row r="13" spans="1:69" outlineLevel="1">
      <c r="A13" s="18"/>
      <c r="B13" s="18"/>
      <c r="C13" s="28"/>
      <c r="D13" s="27"/>
      <c r="E13" s="4" t="str">
        <f xml:space="preserve">  Time!E$291</f>
        <v>Use short term forecast flag</v>
      </c>
      <c r="F13" s="4">
        <f xml:space="preserve">  Time!F$291</f>
        <v>0</v>
      </c>
      <c r="G13" s="4" t="str">
        <f xml:space="preserve">  Time!G$291</f>
        <v>flag</v>
      </c>
      <c r="H13" s="4">
        <f xml:space="preserve">  Time!H$291</f>
        <v>12</v>
      </c>
      <c r="I13" s="4">
        <f xml:space="preserve">  Time!I$291</f>
        <v>0</v>
      </c>
      <c r="J13" s="4">
        <f xml:space="preserve">  Time!J$291</f>
        <v>1</v>
      </c>
      <c r="K13" s="4">
        <f xml:space="preserve">  Time!K$291</f>
        <v>1</v>
      </c>
      <c r="L13" s="4">
        <f xml:space="preserve">  Time!L$291</f>
        <v>1</v>
      </c>
      <c r="M13" s="4">
        <f xml:space="preserve">  Time!M$291</f>
        <v>1</v>
      </c>
      <c r="N13" s="4">
        <f xml:space="preserve">  Time!N$291</f>
        <v>1</v>
      </c>
      <c r="O13" s="4">
        <f xml:space="preserve">  Time!O$291</f>
        <v>1</v>
      </c>
      <c r="P13" s="4">
        <f xml:space="preserve">  Time!P$291</f>
        <v>1</v>
      </c>
      <c r="Q13" s="4">
        <f xml:space="preserve">  Time!Q$291</f>
        <v>1</v>
      </c>
      <c r="R13" s="4">
        <f xml:space="preserve">  Time!R$291</f>
        <v>1</v>
      </c>
      <c r="S13" s="4">
        <f xml:space="preserve">  Time!S$291</f>
        <v>1</v>
      </c>
      <c r="T13" s="4">
        <f xml:space="preserve">  Time!T$291</f>
        <v>1</v>
      </c>
      <c r="U13" s="4">
        <f xml:space="preserve">  Time!U$291</f>
        <v>1</v>
      </c>
      <c r="V13" s="4">
        <f xml:space="preserve">  Time!V$291</f>
        <v>0</v>
      </c>
      <c r="W13" s="4">
        <f xml:space="preserve">  Time!W$291</f>
        <v>0</v>
      </c>
      <c r="X13" s="4">
        <f xml:space="preserve">  Time!X$291</f>
        <v>0</v>
      </c>
      <c r="Y13" s="4">
        <f xml:space="preserve">  Time!Y$291</f>
        <v>0</v>
      </c>
      <c r="Z13" s="4">
        <f xml:space="preserve">  Time!Z$291</f>
        <v>0</v>
      </c>
      <c r="AA13" s="4">
        <f xml:space="preserve">  Time!AA$291</f>
        <v>0</v>
      </c>
      <c r="AB13" s="4">
        <f xml:space="preserve">  Time!AB$291</f>
        <v>0</v>
      </c>
      <c r="AC13" s="4">
        <f xml:space="preserve">  Time!AC$291</f>
        <v>0</v>
      </c>
      <c r="AD13" s="4">
        <f xml:space="preserve">  Time!AD$291</f>
        <v>0</v>
      </c>
      <c r="AE13" s="4">
        <f xml:space="preserve">  Time!AE$291</f>
        <v>0</v>
      </c>
      <c r="AF13" s="4">
        <f xml:space="preserve">  Time!AF$291</f>
        <v>0</v>
      </c>
      <c r="AG13" s="4">
        <f xml:space="preserve">  Time!AG$291</f>
        <v>0</v>
      </c>
      <c r="AH13" s="4">
        <f xml:space="preserve">  Time!AH$291</f>
        <v>0</v>
      </c>
      <c r="AI13" s="4">
        <f xml:space="preserve">  Time!AI$291</f>
        <v>0</v>
      </c>
      <c r="AJ13" s="4">
        <f xml:space="preserve">  Time!AJ$291</f>
        <v>0</v>
      </c>
      <c r="AK13" s="4">
        <f xml:space="preserve">  Time!AK$291</f>
        <v>0</v>
      </c>
      <c r="AL13" s="4">
        <f xml:space="preserve">  Time!AL$291</f>
        <v>0</v>
      </c>
      <c r="AM13" s="4">
        <f xml:space="preserve">  Time!AM$291</f>
        <v>0</v>
      </c>
      <c r="AN13" s="4">
        <f xml:space="preserve">  Time!AN$291</f>
        <v>0</v>
      </c>
      <c r="AO13" s="4">
        <f xml:space="preserve">  Time!AO$291</f>
        <v>0</v>
      </c>
      <c r="AP13" s="4">
        <f xml:space="preserve">  Time!AP$291</f>
        <v>0</v>
      </c>
      <c r="AQ13" s="4">
        <f xml:space="preserve">  Time!AQ$291</f>
        <v>0</v>
      </c>
      <c r="AR13" s="4">
        <f xml:space="preserve">  Time!AR$291</f>
        <v>0</v>
      </c>
      <c r="AS13" s="4">
        <f xml:space="preserve">  Time!AS$291</f>
        <v>0</v>
      </c>
      <c r="AT13" s="4">
        <f xml:space="preserve">  Time!AT$291</f>
        <v>0</v>
      </c>
      <c r="AU13" s="4">
        <f xml:space="preserve">  Time!AU$291</f>
        <v>0</v>
      </c>
      <c r="AV13" s="4">
        <f xml:space="preserve">  Time!AV$291</f>
        <v>0</v>
      </c>
      <c r="AW13" s="4">
        <f xml:space="preserve">  Time!AW$291</f>
        <v>0</v>
      </c>
      <c r="AX13" s="4">
        <f xml:space="preserve">  Time!AX$291</f>
        <v>0</v>
      </c>
      <c r="AY13" s="4">
        <f xml:space="preserve">  Time!AY$291</f>
        <v>0</v>
      </c>
      <c r="AZ13" s="4">
        <f xml:space="preserve">  Time!AZ$291</f>
        <v>0</v>
      </c>
      <c r="BA13" s="4">
        <f xml:space="preserve">  Time!BA$291</f>
        <v>0</v>
      </c>
      <c r="BB13" s="4">
        <f xml:space="preserve">  Time!BB$291</f>
        <v>0</v>
      </c>
      <c r="BC13" s="4">
        <f xml:space="preserve">  Time!BC$291</f>
        <v>0</v>
      </c>
      <c r="BD13" s="4">
        <f xml:space="preserve">  Time!BD$291</f>
        <v>0</v>
      </c>
      <c r="BE13" s="4">
        <f xml:space="preserve">  Time!BE$291</f>
        <v>0</v>
      </c>
      <c r="BF13" s="4">
        <f xml:space="preserve">  Time!BF$291</f>
        <v>0</v>
      </c>
      <c r="BG13" s="4">
        <f xml:space="preserve">  Time!BG$291</f>
        <v>0</v>
      </c>
      <c r="BH13" s="4">
        <f xml:space="preserve">  Time!BH$291</f>
        <v>0</v>
      </c>
      <c r="BI13" s="4">
        <f xml:space="preserve">  Time!BI$291</f>
        <v>0</v>
      </c>
      <c r="BJ13" s="4">
        <f xml:space="preserve">  Time!BJ$291</f>
        <v>0</v>
      </c>
      <c r="BK13" s="4">
        <f xml:space="preserve">  Time!BK$291</f>
        <v>0</v>
      </c>
      <c r="BL13" s="4">
        <f xml:space="preserve">  Time!BL$291</f>
        <v>0</v>
      </c>
      <c r="BM13" s="4">
        <f xml:space="preserve">  Time!BM$291</f>
        <v>0</v>
      </c>
      <c r="BN13" s="4">
        <f xml:space="preserve">  Time!BN$291</f>
        <v>0</v>
      </c>
      <c r="BO13" s="4">
        <f xml:space="preserve">  Time!BO$291</f>
        <v>0</v>
      </c>
      <c r="BP13" s="4">
        <f xml:space="preserve">  Time!BP$291</f>
        <v>0</v>
      </c>
      <c r="BQ13" s="4">
        <f xml:space="preserve">  Time!BQ$291</f>
        <v>0</v>
      </c>
    </row>
    <row r="14" spans="1:69" outlineLevel="1">
      <c r="A14" s="34"/>
      <c r="B14" s="34"/>
      <c r="C14" s="64"/>
      <c r="D14" s="65"/>
      <c r="E14" s="21" t="s">
        <v>80</v>
      </c>
      <c r="F14" s="21"/>
      <c r="G14" s="21" t="s">
        <v>123</v>
      </c>
      <c r="H14" s="3">
        <f xml:space="preserve"> SUM( J14:BQ14 )</f>
        <v>1374286.5308829343</v>
      </c>
      <c r="I14" s="21"/>
      <c r="J14" s="3">
        <f t="shared" ref="J14:BQ14" si="0" xml:space="preserve">  IF( J13 = 1, J11, IF( J12 = 1, $F9, I14 * ( 1 + $F10 ) ) )</f>
        <v>1000</v>
      </c>
      <c r="K14" s="3">
        <f t="shared" si="0"/>
        <v>1000</v>
      </c>
      <c r="L14" s="3">
        <f t="shared" si="0"/>
        <v>1000</v>
      </c>
      <c r="M14" s="3">
        <f t="shared" si="0"/>
        <v>1000</v>
      </c>
      <c r="N14" s="3">
        <f t="shared" si="0"/>
        <v>3000</v>
      </c>
      <c r="O14" s="3">
        <f t="shared" si="0"/>
        <v>3000</v>
      </c>
      <c r="P14" s="3">
        <f t="shared" si="0"/>
        <v>3000</v>
      </c>
      <c r="Q14" s="3">
        <f t="shared" si="0"/>
        <v>5000</v>
      </c>
      <c r="R14" s="3">
        <f t="shared" si="0"/>
        <v>5000</v>
      </c>
      <c r="S14" s="3">
        <f t="shared" si="0"/>
        <v>5000</v>
      </c>
      <c r="T14" s="3">
        <f t="shared" si="0"/>
        <v>5000</v>
      </c>
      <c r="U14" s="3">
        <f t="shared" si="0"/>
        <v>5000</v>
      </c>
      <c r="V14" s="3">
        <f t="shared" si="0"/>
        <v>5297.3154717964762</v>
      </c>
      <c r="W14" s="3">
        <f t="shared" si="0"/>
        <v>5612.3102415468647</v>
      </c>
      <c r="X14" s="3">
        <f t="shared" si="0"/>
        <v>5946.035575013605</v>
      </c>
      <c r="Y14" s="3">
        <f t="shared" si="0"/>
        <v>6299.6052494743653</v>
      </c>
      <c r="Z14" s="3">
        <f t="shared" si="0"/>
        <v>6674.1992708501712</v>
      </c>
      <c r="AA14" s="3">
        <f t="shared" si="0"/>
        <v>7071.0678118654751</v>
      </c>
      <c r="AB14" s="3">
        <f t="shared" si="0"/>
        <v>7491.5353843834073</v>
      </c>
      <c r="AC14" s="3">
        <f t="shared" si="0"/>
        <v>7937.0052598409975</v>
      </c>
      <c r="AD14" s="3">
        <f t="shared" si="0"/>
        <v>8408.9641525371462</v>
      </c>
      <c r="AE14" s="3">
        <f t="shared" si="0"/>
        <v>8908.9871814033941</v>
      </c>
      <c r="AF14" s="3">
        <f t="shared" si="0"/>
        <v>9438.7431268169366</v>
      </c>
      <c r="AG14" s="3">
        <f t="shared" si="0"/>
        <v>10000.000000000002</v>
      </c>
      <c r="AH14" s="3">
        <f t="shared" si="0"/>
        <v>10594.630943592954</v>
      </c>
      <c r="AI14" s="3">
        <f t="shared" si="0"/>
        <v>11224.620483093731</v>
      </c>
      <c r="AJ14" s="3">
        <f t="shared" si="0"/>
        <v>11892.071150027214</v>
      </c>
      <c r="AK14" s="3">
        <f t="shared" si="0"/>
        <v>12599.210498948736</v>
      </c>
      <c r="AL14" s="3">
        <f t="shared" si="0"/>
        <v>13348.39854170035</v>
      </c>
      <c r="AM14" s="3">
        <f t="shared" si="0"/>
        <v>14142.135623730957</v>
      </c>
      <c r="AN14" s="3">
        <f t="shared" si="0"/>
        <v>14983.070768766824</v>
      </c>
      <c r="AO14" s="3">
        <f t="shared" si="0"/>
        <v>15874.010519682004</v>
      </c>
      <c r="AP14" s="3">
        <f t="shared" si="0"/>
        <v>16817.9283050743</v>
      </c>
      <c r="AQ14" s="3">
        <f t="shared" si="0"/>
        <v>17817.974362806795</v>
      </c>
      <c r="AR14" s="3">
        <f t="shared" si="0"/>
        <v>18877.486253633881</v>
      </c>
      <c r="AS14" s="3">
        <f t="shared" si="0"/>
        <v>20000.000000000011</v>
      </c>
      <c r="AT14" s="3">
        <f t="shared" si="0"/>
        <v>21189.261887185919</v>
      </c>
      <c r="AU14" s="3">
        <f t="shared" si="0"/>
        <v>22449.240966187477</v>
      </c>
      <c r="AV14" s="3">
        <f t="shared" si="0"/>
        <v>23784.142300054442</v>
      </c>
      <c r="AW14" s="3">
        <f t="shared" si="0"/>
        <v>25198.420997897487</v>
      </c>
      <c r="AX14" s="3">
        <f t="shared" si="0"/>
        <v>26696.797083400714</v>
      </c>
      <c r="AY14" s="3">
        <f t="shared" si="0"/>
        <v>28284.271247461929</v>
      </c>
      <c r="AZ14" s="3">
        <f t="shared" si="0"/>
        <v>29966.141537533662</v>
      </c>
      <c r="BA14" s="3">
        <f t="shared" si="0"/>
        <v>31748.021039364026</v>
      </c>
      <c r="BB14" s="3">
        <f t="shared" si="0"/>
        <v>33635.856610148621</v>
      </c>
      <c r="BC14" s="3">
        <f t="shared" si="0"/>
        <v>35635.948725613613</v>
      </c>
      <c r="BD14" s="3">
        <f t="shared" si="0"/>
        <v>37754.972507267783</v>
      </c>
      <c r="BE14" s="3">
        <f t="shared" si="0"/>
        <v>40000.000000000051</v>
      </c>
      <c r="BF14" s="3">
        <f t="shared" si="0"/>
        <v>42378.523774371868</v>
      </c>
      <c r="BG14" s="3">
        <f t="shared" si="0"/>
        <v>44898.481932374983</v>
      </c>
      <c r="BH14" s="3">
        <f t="shared" si="0"/>
        <v>47568.284600108913</v>
      </c>
      <c r="BI14" s="3">
        <f t="shared" si="0"/>
        <v>50396.841995795003</v>
      </c>
      <c r="BJ14" s="3">
        <f t="shared" si="0"/>
        <v>53393.594166801457</v>
      </c>
      <c r="BK14" s="3">
        <f t="shared" si="0"/>
        <v>56568.542494923888</v>
      </c>
      <c r="BL14" s="3">
        <f t="shared" si="0"/>
        <v>59932.283075067353</v>
      </c>
      <c r="BM14" s="3">
        <f t="shared" si="0"/>
        <v>63496.042078728082</v>
      </c>
      <c r="BN14" s="3">
        <f t="shared" si="0"/>
        <v>67271.713220297272</v>
      </c>
      <c r="BO14" s="3">
        <f t="shared" si="0"/>
        <v>71271.897451227269</v>
      </c>
      <c r="BP14" s="3">
        <f t="shared" si="0"/>
        <v>75509.94501453561</v>
      </c>
      <c r="BQ14" s="3">
        <f t="shared" si="0"/>
        <v>80000.000000000146</v>
      </c>
    </row>
    <row r="17" spans="1:69">
      <c r="B17" s="25" t="s">
        <v>322</v>
      </c>
    </row>
    <row r="18" spans="1:69" s="82" customFormat="1">
      <c r="A18" s="59"/>
      <c r="B18" s="59"/>
      <c r="C18" s="87"/>
      <c r="D18" s="84"/>
      <c r="E18" s="40" t="str">
        <f xml:space="preserve">  InpC!E$18</f>
        <v>Opening Customer Orders Awaiting Fullfilment</v>
      </c>
      <c r="F18" s="40">
        <f xml:space="preserve">  InpC!F$18</f>
        <v>0</v>
      </c>
      <c r="G18" s="40" t="str">
        <f xml:space="preserve">  InpC!G$18</f>
        <v>Units</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182</v>
      </c>
      <c r="G20" s="47" t="s">
        <v>123</v>
      </c>
      <c r="J20" s="2">
        <f t="shared" ref="J20:BQ20" si="1" xml:space="preserve">  I24</f>
        <v>0</v>
      </c>
      <c r="K20" s="2">
        <f t="shared" ca="1" si="1"/>
        <v>1000</v>
      </c>
      <c r="L20" s="2">
        <f t="shared" ca="1" si="1"/>
        <v>1000</v>
      </c>
      <c r="M20" s="2">
        <f t="shared" ca="1" si="1"/>
        <v>1000</v>
      </c>
      <c r="N20" s="2">
        <f t="shared" ca="1" si="1"/>
        <v>1000</v>
      </c>
      <c r="O20" s="2">
        <f t="shared" ca="1" si="1"/>
        <v>3000</v>
      </c>
      <c r="P20" s="2">
        <f t="shared" ca="1" si="1"/>
        <v>4000</v>
      </c>
      <c r="Q20" s="2">
        <f t="shared" ca="1" si="1"/>
        <v>3000</v>
      </c>
      <c r="R20" s="2">
        <f t="shared" ca="1" si="1"/>
        <v>5000</v>
      </c>
      <c r="S20" s="2">
        <f t="shared" ca="1" si="1"/>
        <v>7000</v>
      </c>
      <c r="T20" s="2">
        <f t="shared" ca="1" si="1"/>
        <v>12000</v>
      </c>
      <c r="U20" s="2">
        <f t="shared" ca="1" si="1"/>
        <v>7000</v>
      </c>
      <c r="V20" s="2">
        <f t="shared" ca="1" si="1"/>
        <v>12000</v>
      </c>
      <c r="W20" s="2">
        <f t="shared" ca="1" si="1"/>
        <v>7297.3154717964753</v>
      </c>
      <c r="X20" s="2">
        <f t="shared" ca="1" si="1"/>
        <v>5612.3102415468638</v>
      </c>
      <c r="Y20" s="2">
        <f t="shared" ca="1" si="1"/>
        <v>8855.6612883569433</v>
      </c>
      <c r="Z20" s="2">
        <f t="shared" ca="1" si="1"/>
        <v>6299.6052494743653</v>
      </c>
      <c r="AA20" s="2">
        <f t="shared" ca="1" si="1"/>
        <v>11829.46580868148</v>
      </c>
      <c r="AB20" s="2">
        <f t="shared" ca="1" si="1"/>
        <v>18900.533620546954</v>
      </c>
      <c r="AC20" s="2">
        <f t="shared" ca="1" si="1"/>
        <v>26392.069004930359</v>
      </c>
      <c r="AD20" s="2">
        <f t="shared" ca="1" si="1"/>
        <v>34329.074264771356</v>
      </c>
      <c r="AE20" s="2">
        <f t="shared" ca="1" si="1"/>
        <v>42738.038417308504</v>
      </c>
      <c r="AF20" s="2">
        <f t="shared" ca="1" si="1"/>
        <v>51647.025598711902</v>
      </c>
      <c r="AG20" s="2">
        <f t="shared" ca="1" si="1"/>
        <v>56085.76872552884</v>
      </c>
      <c r="AH20" s="2">
        <f t="shared" ca="1" si="1"/>
        <v>61085.768725528847</v>
      </c>
      <c r="AI20" s="2">
        <f t="shared" ca="1" si="1"/>
        <v>67580.399669121805</v>
      </c>
      <c r="AJ20" s="2">
        <f t="shared" ca="1" si="1"/>
        <v>69705.02015221554</v>
      </c>
      <c r="AK20" s="2">
        <f t="shared" ca="1" si="1"/>
        <v>72497.091302242756</v>
      </c>
      <c r="AL20" s="2">
        <f t="shared" ca="1" si="1"/>
        <v>80996.301801191497</v>
      </c>
      <c r="AM20" s="2">
        <f t="shared" ca="1" si="1"/>
        <v>87044.700342891854</v>
      </c>
      <c r="AN20" s="2">
        <f t="shared" ca="1" si="1"/>
        <v>93886.835966622806</v>
      </c>
      <c r="AO20" s="2">
        <f t="shared" ca="1" si="1"/>
        <v>101569.90673538962</v>
      </c>
      <c r="AP20" s="2">
        <f t="shared" ca="1" si="1"/>
        <v>111943.91725507163</v>
      </c>
      <c r="AQ20" s="2">
        <f t="shared" ca="1" si="1"/>
        <v>118261.84556014591</v>
      </c>
      <c r="AR20" s="2">
        <f t="shared" ca="1" si="1"/>
        <v>130579.81992295271</v>
      </c>
      <c r="AS20" s="2">
        <f t="shared" ca="1" si="1"/>
        <v>138957.3061765866</v>
      </c>
      <c r="AT20" s="2">
        <f t="shared" ca="1" si="1"/>
        <v>148457.3061765866</v>
      </c>
      <c r="AU20" s="2">
        <f t="shared" ca="1" si="1"/>
        <v>159414.15198838935</v>
      </c>
      <c r="AV20" s="2">
        <f t="shared" ca="1" si="1"/>
        <v>166914.47217196898</v>
      </c>
      <c r="AW20" s="2">
        <f t="shared" ca="1" si="1"/>
        <v>176050.04648953566</v>
      </c>
      <c r="AX20" s="2">
        <f t="shared" ca="1" si="1"/>
        <v>186918.11221196008</v>
      </c>
      <c r="AY20" s="2">
        <f t="shared" ca="1" si="1"/>
        <v>194621.68863912593</v>
      </c>
      <c r="AZ20" s="2">
        <f t="shared" ca="1" si="1"/>
        <v>209269.92091726681</v>
      </c>
      <c r="BA20" s="2">
        <f t="shared" ca="1" si="1"/>
        <v>220978.44430074553</v>
      </c>
      <c r="BB20" s="2">
        <f t="shared" ca="1" si="1"/>
        <v>229869.77007396644</v>
      </c>
      <c r="BC20" s="2">
        <f t="shared" ca="1" si="1"/>
        <v>246073.69442139845</v>
      </c>
      <c r="BD20" s="2">
        <f t="shared" ca="1" si="1"/>
        <v>259727.73161027511</v>
      </c>
      <c r="BE20" s="2">
        <f t="shared" ca="1" si="1"/>
        <v>275977.57293167815</v>
      </c>
      <c r="BF20" s="2">
        <f t="shared" ca="1" si="1"/>
        <v>289977.57293167821</v>
      </c>
      <c r="BG20" s="2">
        <f t="shared" ca="1" si="1"/>
        <v>306891.26455528376</v>
      </c>
      <c r="BH20" s="2">
        <f t="shared" ca="1" si="1"/>
        <v>326891.90492244309</v>
      </c>
      <c r="BI20" s="2">
        <f t="shared" ca="1" si="1"/>
        <v>345163.0535575765</v>
      </c>
      <c r="BJ20" s="2">
        <f t="shared" ca="1" si="1"/>
        <v>366899.18500242539</v>
      </c>
      <c r="BK20" s="2">
        <f t="shared" ca="1" si="1"/>
        <v>387306.33785675722</v>
      </c>
      <c r="BL20" s="2">
        <f t="shared" ca="1" si="1"/>
        <v>411602.80241303897</v>
      </c>
      <c r="BM20" s="2">
        <f t="shared" ca="1" si="1"/>
        <v>435019.84917999641</v>
      </c>
      <c r="BN20" s="2">
        <f t="shared" ca="1" si="1"/>
        <v>462802.5007264383</v>
      </c>
      <c r="BO20" s="2">
        <f t="shared" ca="1" si="1"/>
        <v>490210.34942130244</v>
      </c>
      <c r="BP20" s="2">
        <f t="shared" ca="1" si="1"/>
        <v>517518.42379905586</v>
      </c>
      <c r="BQ20" s="2">
        <f t="shared" ca="1" si="1"/>
        <v>550018.10644186195</v>
      </c>
    </row>
    <row r="21" spans="1:69">
      <c r="D21" s="91" t="s">
        <v>219</v>
      </c>
      <c r="E21" s="2" t="str">
        <f t="shared" ref="E21:BQ21" si="2" xml:space="preserve">  E$14</f>
        <v>New customer orders</v>
      </c>
      <c r="F21" s="2">
        <f t="shared" si="2"/>
        <v>0</v>
      </c>
      <c r="G21" s="2" t="str">
        <f t="shared" si="2"/>
        <v>Units</v>
      </c>
      <c r="H21" s="2">
        <f t="shared" si="2"/>
        <v>1374286.5308829343</v>
      </c>
      <c r="I21" s="2">
        <f t="shared" si="2"/>
        <v>0</v>
      </c>
      <c r="J21" s="2">
        <f t="shared" si="2"/>
        <v>1000</v>
      </c>
      <c r="K21" s="2">
        <f t="shared" si="2"/>
        <v>1000</v>
      </c>
      <c r="L21" s="2">
        <f t="shared" si="2"/>
        <v>1000</v>
      </c>
      <c r="M21" s="2">
        <f t="shared" si="2"/>
        <v>1000</v>
      </c>
      <c r="N21" s="2">
        <f t="shared" si="2"/>
        <v>3000</v>
      </c>
      <c r="O21" s="2">
        <f t="shared" si="2"/>
        <v>3000</v>
      </c>
      <c r="P21" s="2">
        <f t="shared" si="2"/>
        <v>3000</v>
      </c>
      <c r="Q21" s="2">
        <f t="shared" si="2"/>
        <v>5000</v>
      </c>
      <c r="R21" s="2">
        <f t="shared" si="2"/>
        <v>5000</v>
      </c>
      <c r="S21" s="2">
        <f t="shared" si="2"/>
        <v>5000</v>
      </c>
      <c r="T21" s="2">
        <f t="shared" si="2"/>
        <v>5000</v>
      </c>
      <c r="U21" s="2">
        <f t="shared" si="2"/>
        <v>5000</v>
      </c>
      <c r="V21" s="2">
        <f t="shared" si="2"/>
        <v>5297.3154717964762</v>
      </c>
      <c r="W21" s="2">
        <f t="shared" si="2"/>
        <v>5612.3102415468647</v>
      </c>
      <c r="X21" s="2">
        <f t="shared" si="2"/>
        <v>5946.035575013605</v>
      </c>
      <c r="Y21" s="2">
        <f t="shared" si="2"/>
        <v>6299.6052494743653</v>
      </c>
      <c r="Z21" s="2">
        <f t="shared" si="2"/>
        <v>6674.1992708501712</v>
      </c>
      <c r="AA21" s="2">
        <f t="shared" si="2"/>
        <v>7071.0678118654751</v>
      </c>
      <c r="AB21" s="2">
        <f t="shared" si="2"/>
        <v>7491.5353843834073</v>
      </c>
      <c r="AC21" s="2">
        <f t="shared" si="2"/>
        <v>7937.0052598409975</v>
      </c>
      <c r="AD21" s="2">
        <f t="shared" si="2"/>
        <v>8408.9641525371462</v>
      </c>
      <c r="AE21" s="2">
        <f t="shared" si="2"/>
        <v>8908.9871814033941</v>
      </c>
      <c r="AF21" s="2">
        <f t="shared" si="2"/>
        <v>9438.7431268169366</v>
      </c>
      <c r="AG21" s="2">
        <f t="shared" si="2"/>
        <v>10000.000000000002</v>
      </c>
      <c r="AH21" s="2">
        <f t="shared" si="2"/>
        <v>10594.630943592954</v>
      </c>
      <c r="AI21" s="2">
        <f t="shared" si="2"/>
        <v>11224.620483093731</v>
      </c>
      <c r="AJ21" s="2">
        <f t="shared" si="2"/>
        <v>11892.071150027214</v>
      </c>
      <c r="AK21" s="2">
        <f t="shared" si="2"/>
        <v>12599.210498948736</v>
      </c>
      <c r="AL21" s="2">
        <f t="shared" si="2"/>
        <v>13348.39854170035</v>
      </c>
      <c r="AM21" s="2">
        <f t="shared" si="2"/>
        <v>14142.135623730957</v>
      </c>
      <c r="AN21" s="2">
        <f t="shared" si="2"/>
        <v>14983.070768766824</v>
      </c>
      <c r="AO21" s="2">
        <f t="shared" si="2"/>
        <v>15874.010519682004</v>
      </c>
      <c r="AP21" s="2">
        <f t="shared" si="2"/>
        <v>16817.9283050743</v>
      </c>
      <c r="AQ21" s="2">
        <f t="shared" si="2"/>
        <v>17817.974362806795</v>
      </c>
      <c r="AR21" s="2">
        <f t="shared" si="2"/>
        <v>18877.486253633881</v>
      </c>
      <c r="AS21" s="2">
        <f t="shared" si="2"/>
        <v>20000.000000000011</v>
      </c>
      <c r="AT21" s="2">
        <f t="shared" si="2"/>
        <v>21189.261887185919</v>
      </c>
      <c r="AU21" s="2">
        <f t="shared" si="2"/>
        <v>22449.240966187477</v>
      </c>
      <c r="AV21" s="2">
        <f t="shared" si="2"/>
        <v>23784.142300054442</v>
      </c>
      <c r="AW21" s="2">
        <f t="shared" si="2"/>
        <v>25198.420997897487</v>
      </c>
      <c r="AX21" s="2">
        <f t="shared" si="2"/>
        <v>26696.797083400714</v>
      </c>
      <c r="AY21" s="2">
        <f t="shared" si="2"/>
        <v>28284.271247461929</v>
      </c>
      <c r="AZ21" s="2">
        <f t="shared" si="2"/>
        <v>29966.141537533662</v>
      </c>
      <c r="BA21" s="2">
        <f t="shared" si="2"/>
        <v>31748.021039364026</v>
      </c>
      <c r="BB21" s="2">
        <f t="shared" si="2"/>
        <v>33635.856610148621</v>
      </c>
      <c r="BC21" s="2">
        <f t="shared" si="2"/>
        <v>35635.948725613613</v>
      </c>
      <c r="BD21" s="2">
        <f t="shared" si="2"/>
        <v>37754.972507267783</v>
      </c>
      <c r="BE21" s="2">
        <f t="shared" si="2"/>
        <v>40000.000000000051</v>
      </c>
      <c r="BF21" s="2">
        <f t="shared" si="2"/>
        <v>42378.523774371868</v>
      </c>
      <c r="BG21" s="2">
        <f t="shared" si="2"/>
        <v>44898.481932374983</v>
      </c>
      <c r="BH21" s="2">
        <f t="shared" si="2"/>
        <v>47568.284600108913</v>
      </c>
      <c r="BI21" s="2">
        <f t="shared" si="2"/>
        <v>50396.841995795003</v>
      </c>
      <c r="BJ21" s="2">
        <f t="shared" si="2"/>
        <v>53393.594166801457</v>
      </c>
      <c r="BK21" s="2">
        <f t="shared" si="2"/>
        <v>56568.542494923888</v>
      </c>
      <c r="BL21" s="2">
        <f t="shared" si="2"/>
        <v>59932.283075067353</v>
      </c>
      <c r="BM21" s="2">
        <f t="shared" si="2"/>
        <v>63496.042078728082</v>
      </c>
      <c r="BN21" s="2">
        <f t="shared" si="2"/>
        <v>67271.713220297272</v>
      </c>
      <c r="BO21" s="2">
        <f t="shared" si="2"/>
        <v>71271.897451227269</v>
      </c>
      <c r="BP21" s="2">
        <f t="shared" si="2"/>
        <v>75509.94501453561</v>
      </c>
      <c r="BQ21" s="2">
        <f t="shared" si="2"/>
        <v>80000.000000000146</v>
      </c>
    </row>
    <row r="22" spans="1:69">
      <c r="D22" s="91" t="s">
        <v>219</v>
      </c>
      <c r="E22" s="2" t="str">
        <f t="shared" ref="E22:BQ22" si="3" xml:space="preserve">  E$35</f>
        <v>Renewing Customer Orders</v>
      </c>
      <c r="F22" s="2">
        <f t="shared" si="3"/>
        <v>0</v>
      </c>
      <c r="G22" s="2" t="str">
        <f t="shared" si="3"/>
        <v>Units</v>
      </c>
      <c r="H22" s="2">
        <f t="shared" ca="1" si="3"/>
        <v>274731.57555892796</v>
      </c>
      <c r="I22" s="2">
        <f t="shared" si="3"/>
        <v>0</v>
      </c>
      <c r="J22" s="2">
        <f t="shared" ca="1" si="3"/>
        <v>0</v>
      </c>
      <c r="K22" s="2">
        <f t="shared" ca="1" si="3"/>
        <v>0</v>
      </c>
      <c r="L22" s="2">
        <f t="shared" ca="1" si="3"/>
        <v>0</v>
      </c>
      <c r="M22" s="2">
        <f t="shared" ca="1" si="3"/>
        <v>0</v>
      </c>
      <c r="N22" s="2">
        <f t="shared" ca="1" si="3"/>
        <v>0</v>
      </c>
      <c r="O22" s="2">
        <f t="shared" ca="1" si="3"/>
        <v>0</v>
      </c>
      <c r="P22" s="2">
        <f t="shared" ca="1" si="3"/>
        <v>0</v>
      </c>
      <c r="Q22" s="2">
        <f t="shared" ca="1" si="3"/>
        <v>0</v>
      </c>
      <c r="R22" s="2">
        <f t="shared" ca="1" si="3"/>
        <v>0</v>
      </c>
      <c r="S22" s="2">
        <f t="shared" ca="1" si="3"/>
        <v>0</v>
      </c>
      <c r="T22" s="2">
        <f t="shared" ca="1" si="3"/>
        <v>0</v>
      </c>
      <c r="U22" s="2">
        <f t="shared" ca="1" si="3"/>
        <v>0</v>
      </c>
      <c r="V22" s="2">
        <f t="shared" ca="1" si="3"/>
        <v>0</v>
      </c>
      <c r="W22" s="2">
        <f t="shared" ca="1" si="3"/>
        <v>0</v>
      </c>
      <c r="X22" s="2">
        <f t="shared" ca="1" si="3"/>
        <v>0</v>
      </c>
      <c r="Y22" s="2">
        <f t="shared" ca="1" si="3"/>
        <v>0</v>
      </c>
      <c r="Z22" s="2">
        <f t="shared" ca="1" si="3"/>
        <v>0</v>
      </c>
      <c r="AA22" s="2">
        <f t="shared" ca="1" si="3"/>
        <v>0</v>
      </c>
      <c r="AB22" s="2">
        <f t="shared" ca="1" si="3"/>
        <v>0</v>
      </c>
      <c r="AC22" s="2">
        <f t="shared" ca="1" si="3"/>
        <v>0</v>
      </c>
      <c r="AD22" s="2">
        <f t="shared" ca="1" si="3"/>
        <v>0</v>
      </c>
      <c r="AE22" s="2">
        <f t="shared" ca="1" si="3"/>
        <v>0</v>
      </c>
      <c r="AF22" s="2">
        <f t="shared" ca="1" si="3"/>
        <v>0</v>
      </c>
      <c r="AG22" s="2">
        <f t="shared" ca="1" si="3"/>
        <v>0</v>
      </c>
      <c r="AH22" s="2">
        <f t="shared" ca="1" si="3"/>
        <v>900</v>
      </c>
      <c r="AI22" s="2">
        <f t="shared" ca="1" si="3"/>
        <v>900</v>
      </c>
      <c r="AJ22" s="2">
        <f t="shared" ca="1" si="3"/>
        <v>900</v>
      </c>
      <c r="AK22" s="2">
        <f t="shared" ca="1" si="3"/>
        <v>900</v>
      </c>
      <c r="AL22" s="2">
        <f t="shared" ca="1" si="3"/>
        <v>2700</v>
      </c>
      <c r="AM22" s="2">
        <f t="shared" ca="1" si="3"/>
        <v>2700</v>
      </c>
      <c r="AN22" s="2">
        <f t="shared" ca="1" si="3"/>
        <v>2700</v>
      </c>
      <c r="AO22" s="2">
        <f t="shared" ca="1" si="3"/>
        <v>4500</v>
      </c>
      <c r="AP22" s="2">
        <f t="shared" ca="1" si="3"/>
        <v>4500</v>
      </c>
      <c r="AQ22" s="2">
        <f t="shared" ca="1" si="3"/>
        <v>4500</v>
      </c>
      <c r="AR22" s="2">
        <f t="shared" ca="1" si="3"/>
        <v>4500</v>
      </c>
      <c r="AS22" s="2">
        <f t="shared" ca="1" si="3"/>
        <v>4500</v>
      </c>
      <c r="AT22" s="2">
        <f t="shared" ca="1" si="3"/>
        <v>4767.5839246168289</v>
      </c>
      <c r="AU22" s="2">
        <f t="shared" ca="1" si="3"/>
        <v>5051.0792173921782</v>
      </c>
      <c r="AV22" s="2">
        <f t="shared" ca="1" si="3"/>
        <v>5351.4320175122448</v>
      </c>
      <c r="AW22" s="2">
        <f t="shared" ca="1" si="3"/>
        <v>5669.6447245269292</v>
      </c>
      <c r="AX22" s="2">
        <f t="shared" ca="1" si="3"/>
        <v>6006.7793437651544</v>
      </c>
      <c r="AY22" s="2">
        <f t="shared" ca="1" si="3"/>
        <v>6363.9610306789273</v>
      </c>
      <c r="AZ22" s="2">
        <f t="shared" ca="1" si="3"/>
        <v>6742.3818459450667</v>
      </c>
      <c r="BA22" s="2">
        <f t="shared" ca="1" si="3"/>
        <v>7143.3047338568977</v>
      </c>
      <c r="BB22" s="2">
        <f t="shared" ca="1" si="3"/>
        <v>7568.0677372834316</v>
      </c>
      <c r="BC22" s="2">
        <f t="shared" ca="1" si="3"/>
        <v>8018.088463263055</v>
      </c>
      <c r="BD22" s="2">
        <f t="shared" ca="1" si="3"/>
        <v>8494.8688141352432</v>
      </c>
      <c r="BE22" s="2">
        <f t="shared" ca="1" si="3"/>
        <v>9000.0000000000018</v>
      </c>
      <c r="BF22" s="2">
        <f t="shared" ca="1" si="3"/>
        <v>9535.1678492336596</v>
      </c>
      <c r="BG22" s="2">
        <f t="shared" ca="1" si="3"/>
        <v>10102.158434784358</v>
      </c>
      <c r="BH22" s="2">
        <f t="shared" ca="1" si="3"/>
        <v>10702.864035024493</v>
      </c>
      <c r="BI22" s="2">
        <f t="shared" ca="1" si="3"/>
        <v>11339.289449053862</v>
      </c>
      <c r="BJ22" s="2">
        <f t="shared" ca="1" si="3"/>
        <v>12013.558687530314</v>
      </c>
      <c r="BK22" s="2">
        <f t="shared" ca="1" si="3"/>
        <v>12727.922061357862</v>
      </c>
      <c r="BL22" s="2">
        <f t="shared" ca="1" si="3"/>
        <v>13484.763691890141</v>
      </c>
      <c r="BM22" s="2">
        <f t="shared" ca="1" si="3"/>
        <v>14286.609467713804</v>
      </c>
      <c r="BN22" s="2">
        <f t="shared" ca="1" si="3"/>
        <v>15136.13547456687</v>
      </c>
      <c r="BO22" s="2">
        <f t="shared" ca="1" si="3"/>
        <v>16036.176926526115</v>
      </c>
      <c r="BP22" s="2">
        <f t="shared" ca="1" si="3"/>
        <v>16989.737628270494</v>
      </c>
      <c r="BQ22" s="2">
        <f t="shared" ca="1" si="3"/>
        <v>18000.000000000011</v>
      </c>
    </row>
    <row r="23" spans="1:69">
      <c r="D23" s="91" t="s">
        <v>300</v>
      </c>
      <c r="E23" s="2" t="str">
        <f t="shared" ref="E23:BQ23" si="4" xml:space="preserve">  E$29</f>
        <v>Customer orders fullfilled</v>
      </c>
      <c r="F23" s="2">
        <f t="shared" si="4"/>
        <v>0</v>
      </c>
      <c r="G23" s="2" t="str">
        <f t="shared" si="4"/>
        <v>Units</v>
      </c>
      <c r="H23" s="2">
        <f t="shared" ca="1" si="4"/>
        <v>1066000</v>
      </c>
      <c r="I23" s="2">
        <f t="shared" si="4"/>
        <v>0</v>
      </c>
      <c r="J23" s="2">
        <f t="shared" si="4"/>
        <v>0</v>
      </c>
      <c r="K23" s="2">
        <f t="shared" ca="1" si="4"/>
        <v>1000</v>
      </c>
      <c r="L23" s="2">
        <f t="shared" ca="1" si="4"/>
        <v>1000</v>
      </c>
      <c r="M23" s="2">
        <f t="shared" ca="1" si="4"/>
        <v>1000</v>
      </c>
      <c r="N23" s="2">
        <f t="shared" ca="1" si="4"/>
        <v>1000</v>
      </c>
      <c r="O23" s="2">
        <f t="shared" ca="1" si="4"/>
        <v>2000</v>
      </c>
      <c r="P23" s="2">
        <f t="shared" ca="1" si="4"/>
        <v>4000</v>
      </c>
      <c r="Q23" s="2">
        <f t="shared" ca="1" si="4"/>
        <v>3000</v>
      </c>
      <c r="R23" s="2">
        <f t="shared" ca="1" si="4"/>
        <v>3000</v>
      </c>
      <c r="S23" s="2">
        <f t="shared" ca="1" si="4"/>
        <v>0</v>
      </c>
      <c r="T23" s="2">
        <f t="shared" ca="1" si="4"/>
        <v>10000</v>
      </c>
      <c r="U23" s="2">
        <f t="shared" ca="1" si="4"/>
        <v>0</v>
      </c>
      <c r="V23" s="2">
        <f t="shared" ca="1" si="4"/>
        <v>10000</v>
      </c>
      <c r="W23" s="2">
        <f t="shared" ca="1" si="4"/>
        <v>7297.3154717964753</v>
      </c>
      <c r="X23" s="2">
        <f t="shared" ca="1" si="4"/>
        <v>2702.6845282035247</v>
      </c>
      <c r="Y23" s="2">
        <f t="shared" ca="1" si="4"/>
        <v>8855.6612883569433</v>
      </c>
      <c r="Z23" s="2">
        <f t="shared" ca="1" si="4"/>
        <v>1144.3387116430567</v>
      </c>
      <c r="AA23" s="2">
        <f t="shared" ca="1" si="4"/>
        <v>0</v>
      </c>
      <c r="AB23" s="2">
        <f t="shared" ca="1" si="4"/>
        <v>0</v>
      </c>
      <c r="AC23" s="2">
        <f t="shared" ca="1" si="4"/>
        <v>0</v>
      </c>
      <c r="AD23" s="2">
        <f t="shared" ca="1" si="4"/>
        <v>0</v>
      </c>
      <c r="AE23" s="2">
        <f t="shared" ca="1" si="4"/>
        <v>0</v>
      </c>
      <c r="AF23" s="2">
        <f t="shared" ca="1" si="4"/>
        <v>5000</v>
      </c>
      <c r="AG23" s="2">
        <f t="shared" ca="1" si="4"/>
        <v>5000</v>
      </c>
      <c r="AH23" s="2">
        <f t="shared" ca="1" si="4"/>
        <v>5000</v>
      </c>
      <c r="AI23" s="2">
        <f t="shared" ca="1" si="4"/>
        <v>10000</v>
      </c>
      <c r="AJ23" s="2">
        <f t="shared" ca="1" si="4"/>
        <v>10000</v>
      </c>
      <c r="AK23" s="2">
        <f t="shared" ca="1" si="4"/>
        <v>5000</v>
      </c>
      <c r="AL23" s="2">
        <f t="shared" ca="1" si="4"/>
        <v>10000</v>
      </c>
      <c r="AM23" s="2">
        <f t="shared" ca="1" si="4"/>
        <v>10000</v>
      </c>
      <c r="AN23" s="2">
        <f t="shared" ca="1" si="4"/>
        <v>10000</v>
      </c>
      <c r="AO23" s="2">
        <f t="shared" ca="1" si="4"/>
        <v>10000</v>
      </c>
      <c r="AP23" s="2">
        <f t="shared" ca="1" si="4"/>
        <v>15000</v>
      </c>
      <c r="AQ23" s="2">
        <f t="shared" ca="1" si="4"/>
        <v>10000</v>
      </c>
      <c r="AR23" s="2">
        <f t="shared" ca="1" si="4"/>
        <v>15000</v>
      </c>
      <c r="AS23" s="2">
        <f t="shared" ca="1" si="4"/>
        <v>15000</v>
      </c>
      <c r="AT23" s="2">
        <f t="shared" ca="1" si="4"/>
        <v>15000</v>
      </c>
      <c r="AU23" s="2">
        <f t="shared" ca="1" si="4"/>
        <v>20000</v>
      </c>
      <c r="AV23" s="2">
        <f t="shared" ca="1" si="4"/>
        <v>20000</v>
      </c>
      <c r="AW23" s="2">
        <f t="shared" ca="1" si="4"/>
        <v>20000</v>
      </c>
      <c r="AX23" s="2">
        <f t="shared" ca="1" si="4"/>
        <v>25000</v>
      </c>
      <c r="AY23" s="2">
        <f t="shared" ca="1" si="4"/>
        <v>20000</v>
      </c>
      <c r="AZ23" s="2">
        <f t="shared" ca="1" si="4"/>
        <v>25000</v>
      </c>
      <c r="BA23" s="2">
        <f t="shared" ca="1" si="4"/>
        <v>30000</v>
      </c>
      <c r="BB23" s="2">
        <f t="shared" ca="1" si="4"/>
        <v>25000</v>
      </c>
      <c r="BC23" s="2">
        <f t="shared" ca="1" si="4"/>
        <v>30000</v>
      </c>
      <c r="BD23" s="2">
        <f t="shared" ca="1" si="4"/>
        <v>30000.000000000004</v>
      </c>
      <c r="BE23" s="2">
        <f t="shared" ca="1" si="4"/>
        <v>35000</v>
      </c>
      <c r="BF23" s="2">
        <f t="shared" ca="1" si="4"/>
        <v>35000</v>
      </c>
      <c r="BG23" s="2">
        <f t="shared" ca="1" si="4"/>
        <v>35000</v>
      </c>
      <c r="BH23" s="2">
        <f t="shared" ca="1" si="4"/>
        <v>40000</v>
      </c>
      <c r="BI23" s="2">
        <f t="shared" ca="1" si="4"/>
        <v>40000</v>
      </c>
      <c r="BJ23" s="2">
        <f t="shared" ca="1" si="4"/>
        <v>45000</v>
      </c>
      <c r="BK23" s="2">
        <f t="shared" ca="1" si="4"/>
        <v>45000</v>
      </c>
      <c r="BL23" s="2">
        <f t="shared" ca="1" si="4"/>
        <v>49999.999999999993</v>
      </c>
      <c r="BM23" s="2">
        <f t="shared" ca="1" si="4"/>
        <v>50000.000000000007</v>
      </c>
      <c r="BN23" s="2">
        <f t="shared" ca="1" si="4"/>
        <v>54999.999999999985</v>
      </c>
      <c r="BO23" s="2">
        <f t="shared" ca="1" si="4"/>
        <v>60000</v>
      </c>
      <c r="BP23" s="2">
        <f t="shared" ca="1" si="4"/>
        <v>60000</v>
      </c>
      <c r="BQ23" s="2">
        <f t="shared" ca="1" si="4"/>
        <v>65000</v>
      </c>
    </row>
    <row r="24" spans="1:69" s="81" customFormat="1">
      <c r="A24" s="63"/>
      <c r="B24" s="63"/>
      <c r="C24" s="88"/>
      <c r="D24" s="90"/>
      <c r="E24" s="33" t="s">
        <v>322</v>
      </c>
      <c r="F24" s="33"/>
      <c r="G24" s="33" t="s">
        <v>123</v>
      </c>
      <c r="H24" s="33"/>
      <c r="I24" s="11">
        <f t="shared" ref="I24:BQ24" si="5" xml:space="preserve">  IF( I19 = 0, $F18, I20 + I21 + I22 - I23 )</f>
        <v>0</v>
      </c>
      <c r="J24" s="11">
        <f t="shared" ca="1" si="5"/>
        <v>1000</v>
      </c>
      <c r="K24" s="11">
        <f t="shared" ca="1" si="5"/>
        <v>1000</v>
      </c>
      <c r="L24" s="11">
        <f t="shared" ca="1" si="5"/>
        <v>1000</v>
      </c>
      <c r="M24" s="11">
        <f t="shared" ca="1" si="5"/>
        <v>1000</v>
      </c>
      <c r="N24" s="11">
        <f t="shared" ca="1" si="5"/>
        <v>3000</v>
      </c>
      <c r="O24" s="11">
        <f t="shared" ca="1" si="5"/>
        <v>4000</v>
      </c>
      <c r="P24" s="11">
        <f t="shared" ca="1" si="5"/>
        <v>3000</v>
      </c>
      <c r="Q24" s="11">
        <f t="shared" ca="1" si="5"/>
        <v>5000</v>
      </c>
      <c r="R24" s="11">
        <f t="shared" ca="1" si="5"/>
        <v>7000</v>
      </c>
      <c r="S24" s="11">
        <f t="shared" ca="1" si="5"/>
        <v>12000</v>
      </c>
      <c r="T24" s="11">
        <f t="shared" ca="1" si="5"/>
        <v>7000</v>
      </c>
      <c r="U24" s="11">
        <f t="shared" ca="1" si="5"/>
        <v>12000</v>
      </c>
      <c r="V24" s="11">
        <f t="shared" ca="1" si="5"/>
        <v>7297.3154717964753</v>
      </c>
      <c r="W24" s="11">
        <f t="shared" ca="1" si="5"/>
        <v>5612.3102415468638</v>
      </c>
      <c r="X24" s="11">
        <f t="shared" ca="1" si="5"/>
        <v>8855.6612883569433</v>
      </c>
      <c r="Y24" s="11">
        <f t="shared" ca="1" si="5"/>
        <v>6299.6052494743653</v>
      </c>
      <c r="Z24" s="11">
        <f t="shared" ca="1" si="5"/>
        <v>11829.46580868148</v>
      </c>
      <c r="AA24" s="11">
        <f t="shared" ca="1" si="5"/>
        <v>18900.533620546954</v>
      </c>
      <c r="AB24" s="11">
        <f t="shared" ca="1" si="5"/>
        <v>26392.069004930359</v>
      </c>
      <c r="AC24" s="11">
        <f t="shared" ca="1" si="5"/>
        <v>34329.074264771356</v>
      </c>
      <c r="AD24" s="11">
        <f t="shared" ca="1" si="5"/>
        <v>42738.038417308504</v>
      </c>
      <c r="AE24" s="11">
        <f t="shared" ca="1" si="5"/>
        <v>51647.025598711902</v>
      </c>
      <c r="AF24" s="11">
        <f t="shared" ca="1" si="5"/>
        <v>56085.76872552884</v>
      </c>
      <c r="AG24" s="11">
        <f t="shared" ca="1" si="5"/>
        <v>61085.768725528847</v>
      </c>
      <c r="AH24" s="11">
        <f t="shared" ca="1" si="5"/>
        <v>67580.399669121805</v>
      </c>
      <c r="AI24" s="11">
        <f t="shared" ca="1" si="5"/>
        <v>69705.02015221554</v>
      </c>
      <c r="AJ24" s="11">
        <f t="shared" ca="1" si="5"/>
        <v>72497.091302242756</v>
      </c>
      <c r="AK24" s="11">
        <f t="shared" ca="1" si="5"/>
        <v>80996.301801191497</v>
      </c>
      <c r="AL24" s="11">
        <f t="shared" ca="1" si="5"/>
        <v>87044.700342891854</v>
      </c>
      <c r="AM24" s="11">
        <f t="shared" ca="1" si="5"/>
        <v>93886.835966622806</v>
      </c>
      <c r="AN24" s="11">
        <f t="shared" ca="1" si="5"/>
        <v>101569.90673538962</v>
      </c>
      <c r="AO24" s="11">
        <f t="shared" ca="1" si="5"/>
        <v>111943.91725507163</v>
      </c>
      <c r="AP24" s="11">
        <f t="shared" ca="1" si="5"/>
        <v>118261.84556014591</v>
      </c>
      <c r="AQ24" s="11">
        <f t="shared" ca="1" si="5"/>
        <v>130579.81992295271</v>
      </c>
      <c r="AR24" s="11">
        <f t="shared" ca="1" si="5"/>
        <v>138957.3061765866</v>
      </c>
      <c r="AS24" s="11">
        <f t="shared" ca="1" si="5"/>
        <v>148457.3061765866</v>
      </c>
      <c r="AT24" s="11">
        <f t="shared" ca="1" si="5"/>
        <v>159414.15198838935</v>
      </c>
      <c r="AU24" s="11">
        <f t="shared" ca="1" si="5"/>
        <v>166914.47217196898</v>
      </c>
      <c r="AV24" s="11">
        <f t="shared" ca="1" si="5"/>
        <v>176050.04648953566</v>
      </c>
      <c r="AW24" s="11">
        <f t="shared" ca="1" si="5"/>
        <v>186918.11221196008</v>
      </c>
      <c r="AX24" s="11">
        <f t="shared" ca="1" si="5"/>
        <v>194621.68863912593</v>
      </c>
      <c r="AY24" s="11">
        <f t="shared" ca="1" si="5"/>
        <v>209269.92091726681</v>
      </c>
      <c r="AZ24" s="11">
        <f t="shared" ca="1" si="5"/>
        <v>220978.44430074553</v>
      </c>
      <c r="BA24" s="11">
        <f t="shared" ca="1" si="5"/>
        <v>229869.77007396644</v>
      </c>
      <c r="BB24" s="11">
        <f t="shared" ca="1" si="5"/>
        <v>246073.69442139845</v>
      </c>
      <c r="BC24" s="11">
        <f t="shared" ca="1" si="5"/>
        <v>259727.73161027511</v>
      </c>
      <c r="BD24" s="11">
        <f t="shared" ca="1" si="5"/>
        <v>275977.57293167815</v>
      </c>
      <c r="BE24" s="11">
        <f t="shared" ca="1" si="5"/>
        <v>289977.57293167821</v>
      </c>
      <c r="BF24" s="11">
        <f t="shared" ca="1" si="5"/>
        <v>306891.26455528376</v>
      </c>
      <c r="BG24" s="11">
        <f t="shared" ca="1" si="5"/>
        <v>326891.90492244309</v>
      </c>
      <c r="BH24" s="11">
        <f t="shared" ca="1" si="5"/>
        <v>345163.0535575765</v>
      </c>
      <c r="BI24" s="11">
        <f t="shared" ca="1" si="5"/>
        <v>366899.18500242539</v>
      </c>
      <c r="BJ24" s="11">
        <f t="shared" ca="1" si="5"/>
        <v>387306.33785675722</v>
      </c>
      <c r="BK24" s="11">
        <f t="shared" ca="1" si="5"/>
        <v>411602.80241303897</v>
      </c>
      <c r="BL24" s="11">
        <f t="shared" ca="1" si="5"/>
        <v>435019.84917999641</v>
      </c>
      <c r="BM24" s="11">
        <f t="shared" ca="1" si="5"/>
        <v>462802.5007264383</v>
      </c>
      <c r="BN24" s="11">
        <f t="shared" ca="1" si="5"/>
        <v>490210.34942130244</v>
      </c>
      <c r="BO24" s="11">
        <f t="shared" ca="1" si="5"/>
        <v>517518.42379905586</v>
      </c>
      <c r="BP24" s="11">
        <f t="shared" ca="1" si="5"/>
        <v>550018.10644186195</v>
      </c>
      <c r="BQ24" s="11">
        <f t="shared" ca="1" si="5"/>
        <v>583018.10644186207</v>
      </c>
    </row>
    <row r="26" spans="1:69">
      <c r="B26" s="25" t="s">
        <v>220</v>
      </c>
    </row>
    <row r="27" spans="1:69" outlineLevel="1">
      <c r="A27" s="18"/>
      <c r="B27" s="18"/>
      <c r="C27" s="28"/>
      <c r="D27" s="27"/>
      <c r="E27" s="4" t="str">
        <f xml:space="preserve">  Inventory!E$60</f>
        <v>Units in stock BEG</v>
      </c>
      <c r="F27" s="4">
        <f xml:space="preserve">  Inventory!F$60</f>
        <v>0</v>
      </c>
      <c r="G27" s="4" t="str">
        <f xml:space="preserve">  Inventory!G$60</f>
        <v>Units</v>
      </c>
      <c r="H27" s="4">
        <f xml:space="preserve">  Inventory!H$60</f>
        <v>0</v>
      </c>
      <c r="I27" s="4">
        <f xml:space="preserve">  Inventory!I$60</f>
        <v>0</v>
      </c>
      <c r="J27" s="4">
        <f xml:space="preserve">  Inventory!J$60</f>
        <v>1000</v>
      </c>
      <c r="K27" s="4">
        <f ca="1" xml:space="preserve">  Inventory!K$60</f>
        <v>1000</v>
      </c>
      <c r="L27" s="4">
        <f ca="1" xml:space="preserve">  Inventory!L$60</f>
        <v>5000</v>
      </c>
      <c r="M27" s="4">
        <f ca="1" xml:space="preserve">  Inventory!M$60</f>
        <v>4000</v>
      </c>
      <c r="N27" s="4">
        <f ca="1" xml:space="preserve">  Inventory!N$60</f>
        <v>3000</v>
      </c>
      <c r="O27" s="4">
        <f ca="1" xml:space="preserve">  Inventory!O$60</f>
        <v>2000</v>
      </c>
      <c r="P27" s="4">
        <f ca="1" xml:space="preserve">  Inventory!P$60</f>
        <v>10000</v>
      </c>
      <c r="Q27" s="4">
        <f ca="1" xml:space="preserve">  Inventory!Q$60</f>
        <v>6000</v>
      </c>
      <c r="R27" s="4">
        <f ca="1" xml:space="preserve">  Inventory!R$60</f>
        <v>3000</v>
      </c>
      <c r="S27" s="4">
        <f ca="1" xml:space="preserve">  Inventory!S$60</f>
        <v>0</v>
      </c>
      <c r="T27" s="4">
        <f ca="1" xml:space="preserve">  Inventory!T$60</f>
        <v>10000</v>
      </c>
      <c r="U27" s="4">
        <f ca="1" xml:space="preserve">  Inventory!U$60</f>
        <v>0</v>
      </c>
      <c r="V27" s="4">
        <f ca="1" xml:space="preserve">  Inventory!V$60</f>
        <v>10000</v>
      </c>
      <c r="W27" s="4">
        <f ca="1" xml:space="preserve">  Inventory!W$60</f>
        <v>10000</v>
      </c>
      <c r="X27" s="4">
        <f ca="1" xml:space="preserve">  Inventory!X$60</f>
        <v>2702.6845282035247</v>
      </c>
      <c r="Y27" s="4">
        <f ca="1" xml:space="preserve">  Inventory!Y$60</f>
        <v>10000</v>
      </c>
      <c r="Z27" s="4">
        <f ca="1" xml:space="preserve">  Inventory!Z$60</f>
        <v>1144.3387116430567</v>
      </c>
      <c r="AA27" s="4">
        <f ca="1" xml:space="preserve">  Inventory!AA$60</f>
        <v>0</v>
      </c>
      <c r="AB27" s="4">
        <f ca="1" xml:space="preserve">  Inventory!AB$60</f>
        <v>0</v>
      </c>
      <c r="AC27" s="4">
        <f ca="1" xml:space="preserve">  Inventory!AC$60</f>
        <v>0</v>
      </c>
      <c r="AD27" s="4">
        <f ca="1" xml:space="preserve">  Inventory!AD$60</f>
        <v>0</v>
      </c>
      <c r="AE27" s="4">
        <f ca="1" xml:space="preserve">  Inventory!AE$60</f>
        <v>0</v>
      </c>
      <c r="AF27" s="4">
        <f ca="1" xml:space="preserve">  Inventory!AF$60</f>
        <v>5000</v>
      </c>
      <c r="AG27" s="4">
        <f ca="1" xml:space="preserve">  Inventory!AG$60</f>
        <v>5000</v>
      </c>
      <c r="AH27" s="4">
        <f ca="1" xml:space="preserve">  Inventory!AH$60</f>
        <v>5000</v>
      </c>
      <c r="AI27" s="4">
        <f ca="1" xml:space="preserve">  Inventory!AI$60</f>
        <v>10000</v>
      </c>
      <c r="AJ27" s="4">
        <f ca="1" xml:space="preserve">  Inventory!AJ$60</f>
        <v>10000</v>
      </c>
      <c r="AK27" s="4">
        <f ca="1" xml:space="preserve">  Inventory!AK$60</f>
        <v>5000</v>
      </c>
      <c r="AL27" s="4">
        <f ca="1" xml:space="preserve">  Inventory!AL$60</f>
        <v>10000</v>
      </c>
      <c r="AM27" s="4">
        <f ca="1" xml:space="preserve">  Inventory!AM$60</f>
        <v>10000</v>
      </c>
      <c r="AN27" s="4">
        <f ca="1" xml:space="preserve">  Inventory!AN$60</f>
        <v>10000</v>
      </c>
      <c r="AO27" s="4">
        <f ca="1" xml:space="preserve">  Inventory!AO$60</f>
        <v>10000</v>
      </c>
      <c r="AP27" s="4">
        <f ca="1" xml:space="preserve">  Inventory!AP$60</f>
        <v>15000</v>
      </c>
      <c r="AQ27" s="4">
        <f ca="1" xml:space="preserve">  Inventory!AQ$60</f>
        <v>10000</v>
      </c>
      <c r="AR27" s="4">
        <f ca="1" xml:space="preserve">  Inventory!AR$60</f>
        <v>15000</v>
      </c>
      <c r="AS27" s="4">
        <f ca="1" xml:space="preserve">  Inventory!AS$60</f>
        <v>15000</v>
      </c>
      <c r="AT27" s="4">
        <f ca="1" xml:space="preserve">  Inventory!AT$60</f>
        <v>15000</v>
      </c>
      <c r="AU27" s="4">
        <f ca="1" xml:space="preserve">  Inventory!AU$60</f>
        <v>20000</v>
      </c>
      <c r="AV27" s="4">
        <f ca="1" xml:space="preserve">  Inventory!AV$60</f>
        <v>20000</v>
      </c>
      <c r="AW27" s="4">
        <f ca="1" xml:space="preserve">  Inventory!AW$60</f>
        <v>20000</v>
      </c>
      <c r="AX27" s="4">
        <f ca="1" xml:space="preserve">  Inventory!AX$60</f>
        <v>25000</v>
      </c>
      <c r="AY27" s="4">
        <f ca="1" xml:space="preserve">  Inventory!AY$60</f>
        <v>20000</v>
      </c>
      <c r="AZ27" s="4">
        <f ca="1" xml:space="preserve">  Inventory!AZ$60</f>
        <v>25000</v>
      </c>
      <c r="BA27" s="4">
        <f ca="1" xml:space="preserve">  Inventory!BA$60</f>
        <v>30000</v>
      </c>
      <c r="BB27" s="4">
        <f ca="1" xml:space="preserve">  Inventory!BB$60</f>
        <v>25000</v>
      </c>
      <c r="BC27" s="4">
        <f ca="1" xml:space="preserve">  Inventory!BC$60</f>
        <v>30000</v>
      </c>
      <c r="BD27" s="4">
        <f ca="1" xml:space="preserve">  Inventory!BD$60</f>
        <v>30000.000000000004</v>
      </c>
      <c r="BE27" s="4">
        <f ca="1" xml:space="preserve">  Inventory!BE$60</f>
        <v>35000</v>
      </c>
      <c r="BF27" s="4">
        <f ca="1" xml:space="preserve">  Inventory!BF$60</f>
        <v>35000</v>
      </c>
      <c r="BG27" s="4">
        <f ca="1" xml:space="preserve">  Inventory!BG$60</f>
        <v>35000</v>
      </c>
      <c r="BH27" s="4">
        <f ca="1" xml:space="preserve">  Inventory!BH$60</f>
        <v>40000</v>
      </c>
      <c r="BI27" s="4">
        <f ca="1" xml:space="preserve">  Inventory!BI$60</f>
        <v>40000</v>
      </c>
      <c r="BJ27" s="4">
        <f ca="1" xml:space="preserve">  Inventory!BJ$60</f>
        <v>45000</v>
      </c>
      <c r="BK27" s="4">
        <f ca="1" xml:space="preserve">  Inventory!BK$60</f>
        <v>45000</v>
      </c>
      <c r="BL27" s="4">
        <f ca="1" xml:space="preserve">  Inventory!BL$60</f>
        <v>49999.999999999993</v>
      </c>
      <c r="BM27" s="4">
        <f ca="1" xml:space="preserve">  Inventory!BM$60</f>
        <v>50000.000000000007</v>
      </c>
      <c r="BN27" s="4">
        <f ca="1" xml:space="preserve">  Inventory!BN$60</f>
        <v>54999.999999999985</v>
      </c>
      <c r="BO27" s="4">
        <f ca="1" xml:space="preserve">  Inventory!BO$60</f>
        <v>60000</v>
      </c>
      <c r="BP27" s="4">
        <f ca="1" xml:space="preserve">  Inventory!BP$60</f>
        <v>60000</v>
      </c>
      <c r="BQ27" s="4">
        <f ca="1" xml:space="preserve">  Inventory!BQ$60</f>
        <v>65000</v>
      </c>
    </row>
    <row r="28" spans="1:69" outlineLevel="1">
      <c r="E28" s="2" t="str">
        <f t="shared" ref="E28:BQ28" si="6" xml:space="preserve">  E$20</f>
        <v>Customer Orders Awaiting Fullfilment BEG</v>
      </c>
      <c r="F28" s="2">
        <f t="shared" si="6"/>
        <v>0</v>
      </c>
      <c r="G28" s="2" t="str">
        <f t="shared" si="6"/>
        <v>Units</v>
      </c>
      <c r="H28" s="2">
        <f t="shared" si="6"/>
        <v>0</v>
      </c>
      <c r="I28" s="2">
        <f t="shared" si="6"/>
        <v>0</v>
      </c>
      <c r="J28" s="2">
        <f t="shared" si="6"/>
        <v>0</v>
      </c>
      <c r="K28" s="2">
        <f t="shared" ca="1" si="6"/>
        <v>1000</v>
      </c>
      <c r="L28" s="2">
        <f t="shared" ca="1" si="6"/>
        <v>1000</v>
      </c>
      <c r="M28" s="2">
        <f t="shared" ca="1" si="6"/>
        <v>1000</v>
      </c>
      <c r="N28" s="2">
        <f t="shared" ca="1" si="6"/>
        <v>1000</v>
      </c>
      <c r="O28" s="2">
        <f t="shared" ca="1" si="6"/>
        <v>3000</v>
      </c>
      <c r="P28" s="2">
        <f t="shared" ca="1" si="6"/>
        <v>4000</v>
      </c>
      <c r="Q28" s="2">
        <f t="shared" ca="1" si="6"/>
        <v>3000</v>
      </c>
      <c r="R28" s="2">
        <f t="shared" ca="1" si="6"/>
        <v>5000</v>
      </c>
      <c r="S28" s="2">
        <f t="shared" ca="1" si="6"/>
        <v>7000</v>
      </c>
      <c r="T28" s="2">
        <f t="shared" ca="1" si="6"/>
        <v>12000</v>
      </c>
      <c r="U28" s="2">
        <f t="shared" ca="1" si="6"/>
        <v>7000</v>
      </c>
      <c r="V28" s="2">
        <f t="shared" ca="1" si="6"/>
        <v>12000</v>
      </c>
      <c r="W28" s="2">
        <f t="shared" ca="1" si="6"/>
        <v>7297.3154717964753</v>
      </c>
      <c r="X28" s="2">
        <f t="shared" ca="1" si="6"/>
        <v>5612.3102415468638</v>
      </c>
      <c r="Y28" s="2">
        <f t="shared" ca="1" si="6"/>
        <v>8855.6612883569433</v>
      </c>
      <c r="Z28" s="2">
        <f t="shared" ca="1" si="6"/>
        <v>6299.6052494743653</v>
      </c>
      <c r="AA28" s="2">
        <f t="shared" ca="1" si="6"/>
        <v>11829.46580868148</v>
      </c>
      <c r="AB28" s="2">
        <f t="shared" ca="1" si="6"/>
        <v>18900.533620546954</v>
      </c>
      <c r="AC28" s="2">
        <f t="shared" ca="1" si="6"/>
        <v>26392.069004930359</v>
      </c>
      <c r="AD28" s="2">
        <f t="shared" ca="1" si="6"/>
        <v>34329.074264771356</v>
      </c>
      <c r="AE28" s="2">
        <f t="shared" ca="1" si="6"/>
        <v>42738.038417308504</v>
      </c>
      <c r="AF28" s="2">
        <f t="shared" ca="1" si="6"/>
        <v>51647.025598711902</v>
      </c>
      <c r="AG28" s="2">
        <f t="shared" ca="1" si="6"/>
        <v>56085.76872552884</v>
      </c>
      <c r="AH28" s="2">
        <f t="shared" ca="1" si="6"/>
        <v>61085.768725528847</v>
      </c>
      <c r="AI28" s="2">
        <f t="shared" ca="1" si="6"/>
        <v>67580.399669121805</v>
      </c>
      <c r="AJ28" s="2">
        <f t="shared" ca="1" si="6"/>
        <v>69705.02015221554</v>
      </c>
      <c r="AK28" s="2">
        <f t="shared" ca="1" si="6"/>
        <v>72497.091302242756</v>
      </c>
      <c r="AL28" s="2">
        <f t="shared" ca="1" si="6"/>
        <v>80996.301801191497</v>
      </c>
      <c r="AM28" s="2">
        <f t="shared" ca="1" si="6"/>
        <v>87044.700342891854</v>
      </c>
      <c r="AN28" s="2">
        <f t="shared" ca="1" si="6"/>
        <v>93886.835966622806</v>
      </c>
      <c r="AO28" s="2">
        <f t="shared" ca="1" si="6"/>
        <v>101569.90673538962</v>
      </c>
      <c r="AP28" s="2">
        <f t="shared" ca="1" si="6"/>
        <v>111943.91725507163</v>
      </c>
      <c r="AQ28" s="2">
        <f t="shared" ca="1" si="6"/>
        <v>118261.84556014591</v>
      </c>
      <c r="AR28" s="2">
        <f t="shared" ca="1" si="6"/>
        <v>130579.81992295271</v>
      </c>
      <c r="AS28" s="2">
        <f t="shared" ca="1" si="6"/>
        <v>138957.3061765866</v>
      </c>
      <c r="AT28" s="2">
        <f t="shared" ca="1" si="6"/>
        <v>148457.3061765866</v>
      </c>
      <c r="AU28" s="2">
        <f t="shared" ca="1" si="6"/>
        <v>159414.15198838935</v>
      </c>
      <c r="AV28" s="2">
        <f t="shared" ca="1" si="6"/>
        <v>166914.47217196898</v>
      </c>
      <c r="AW28" s="2">
        <f t="shared" ca="1" si="6"/>
        <v>176050.04648953566</v>
      </c>
      <c r="AX28" s="2">
        <f t="shared" ca="1" si="6"/>
        <v>186918.11221196008</v>
      </c>
      <c r="AY28" s="2">
        <f t="shared" ca="1" si="6"/>
        <v>194621.68863912593</v>
      </c>
      <c r="AZ28" s="2">
        <f t="shared" ca="1" si="6"/>
        <v>209269.92091726681</v>
      </c>
      <c r="BA28" s="2">
        <f t="shared" ca="1" si="6"/>
        <v>220978.44430074553</v>
      </c>
      <c r="BB28" s="2">
        <f t="shared" ca="1" si="6"/>
        <v>229869.77007396644</v>
      </c>
      <c r="BC28" s="2">
        <f t="shared" ca="1" si="6"/>
        <v>246073.69442139845</v>
      </c>
      <c r="BD28" s="2">
        <f t="shared" ca="1" si="6"/>
        <v>259727.73161027511</v>
      </c>
      <c r="BE28" s="2">
        <f t="shared" ca="1" si="6"/>
        <v>275977.57293167815</v>
      </c>
      <c r="BF28" s="2">
        <f t="shared" ca="1" si="6"/>
        <v>289977.57293167821</v>
      </c>
      <c r="BG28" s="2">
        <f t="shared" ca="1" si="6"/>
        <v>306891.26455528376</v>
      </c>
      <c r="BH28" s="2">
        <f t="shared" ca="1" si="6"/>
        <v>326891.90492244309</v>
      </c>
      <c r="BI28" s="2">
        <f t="shared" ca="1" si="6"/>
        <v>345163.0535575765</v>
      </c>
      <c r="BJ28" s="2">
        <f t="shared" ca="1" si="6"/>
        <v>366899.18500242539</v>
      </c>
      <c r="BK28" s="2">
        <f t="shared" ca="1" si="6"/>
        <v>387306.33785675722</v>
      </c>
      <c r="BL28" s="2">
        <f t="shared" ca="1" si="6"/>
        <v>411602.80241303897</v>
      </c>
      <c r="BM28" s="2">
        <f t="shared" ca="1" si="6"/>
        <v>435019.84917999641</v>
      </c>
      <c r="BN28" s="2">
        <f t="shared" ca="1" si="6"/>
        <v>462802.5007264383</v>
      </c>
      <c r="BO28" s="2">
        <f t="shared" ca="1" si="6"/>
        <v>490210.34942130244</v>
      </c>
      <c r="BP28" s="2">
        <f t="shared" ca="1" si="6"/>
        <v>517518.42379905586</v>
      </c>
      <c r="BQ28" s="2">
        <f t="shared" ca="1" si="6"/>
        <v>550018.10644186195</v>
      </c>
    </row>
    <row r="29" spans="1:69" outlineLevel="1">
      <c r="A29" s="34"/>
      <c r="B29" s="34"/>
      <c r="C29" s="64"/>
      <c r="D29" s="65"/>
      <c r="E29" s="21" t="s">
        <v>220</v>
      </c>
      <c r="F29" s="21"/>
      <c r="G29" s="21" t="s">
        <v>123</v>
      </c>
      <c r="H29" s="3">
        <f ca="1" xml:space="preserve"> SUM( J29:BQ29 )</f>
        <v>1066000</v>
      </c>
      <c r="I29" s="21"/>
      <c r="J29" s="3">
        <f t="shared" ref="J29:BQ29" si="7" xml:space="preserve">  IF( J27 &gt; 0, IF( J28 &gt; J27, J27, J28 ), 0 )</f>
        <v>0</v>
      </c>
      <c r="K29" s="3">
        <f t="shared" ca="1" si="7"/>
        <v>1000</v>
      </c>
      <c r="L29" s="3">
        <f t="shared" ca="1" si="7"/>
        <v>1000</v>
      </c>
      <c r="M29" s="3">
        <f t="shared" ca="1" si="7"/>
        <v>1000</v>
      </c>
      <c r="N29" s="3">
        <f t="shared" ca="1" si="7"/>
        <v>1000</v>
      </c>
      <c r="O29" s="3">
        <f t="shared" ca="1" si="7"/>
        <v>2000</v>
      </c>
      <c r="P29" s="3">
        <f t="shared" ca="1" si="7"/>
        <v>4000</v>
      </c>
      <c r="Q29" s="3">
        <f t="shared" ca="1" si="7"/>
        <v>3000</v>
      </c>
      <c r="R29" s="3">
        <f t="shared" ca="1" si="7"/>
        <v>3000</v>
      </c>
      <c r="S29" s="3">
        <f t="shared" ca="1" si="7"/>
        <v>0</v>
      </c>
      <c r="T29" s="3">
        <f t="shared" ca="1" si="7"/>
        <v>10000</v>
      </c>
      <c r="U29" s="3">
        <f t="shared" ca="1" si="7"/>
        <v>0</v>
      </c>
      <c r="V29" s="3">
        <f t="shared" ca="1" si="7"/>
        <v>10000</v>
      </c>
      <c r="W29" s="3">
        <f t="shared" ca="1" si="7"/>
        <v>7297.3154717964753</v>
      </c>
      <c r="X29" s="3">
        <f t="shared" ca="1" si="7"/>
        <v>2702.6845282035247</v>
      </c>
      <c r="Y29" s="3">
        <f t="shared" ca="1" si="7"/>
        <v>8855.6612883569433</v>
      </c>
      <c r="Z29" s="3">
        <f t="shared" ca="1" si="7"/>
        <v>1144.3387116430567</v>
      </c>
      <c r="AA29" s="3">
        <f t="shared" ca="1" si="7"/>
        <v>0</v>
      </c>
      <c r="AB29" s="3">
        <f t="shared" ca="1" si="7"/>
        <v>0</v>
      </c>
      <c r="AC29" s="3">
        <f t="shared" ca="1" si="7"/>
        <v>0</v>
      </c>
      <c r="AD29" s="3">
        <f t="shared" ca="1" si="7"/>
        <v>0</v>
      </c>
      <c r="AE29" s="3">
        <f t="shared" ca="1" si="7"/>
        <v>0</v>
      </c>
      <c r="AF29" s="3">
        <f t="shared" ca="1" si="7"/>
        <v>5000</v>
      </c>
      <c r="AG29" s="3">
        <f t="shared" ca="1" si="7"/>
        <v>5000</v>
      </c>
      <c r="AH29" s="3">
        <f t="shared" ca="1" si="7"/>
        <v>5000</v>
      </c>
      <c r="AI29" s="3">
        <f t="shared" ca="1" si="7"/>
        <v>10000</v>
      </c>
      <c r="AJ29" s="3">
        <f t="shared" ca="1" si="7"/>
        <v>10000</v>
      </c>
      <c r="AK29" s="3">
        <f t="shared" ca="1" si="7"/>
        <v>5000</v>
      </c>
      <c r="AL29" s="3">
        <f t="shared" ca="1" si="7"/>
        <v>10000</v>
      </c>
      <c r="AM29" s="3">
        <f t="shared" ca="1" si="7"/>
        <v>10000</v>
      </c>
      <c r="AN29" s="3">
        <f t="shared" ca="1" si="7"/>
        <v>10000</v>
      </c>
      <c r="AO29" s="3">
        <f t="shared" ca="1" si="7"/>
        <v>10000</v>
      </c>
      <c r="AP29" s="3">
        <f t="shared" ca="1" si="7"/>
        <v>15000</v>
      </c>
      <c r="AQ29" s="3">
        <f t="shared" ca="1" si="7"/>
        <v>10000</v>
      </c>
      <c r="AR29" s="3">
        <f t="shared" ca="1" si="7"/>
        <v>15000</v>
      </c>
      <c r="AS29" s="3">
        <f t="shared" ca="1" si="7"/>
        <v>15000</v>
      </c>
      <c r="AT29" s="3">
        <f t="shared" ca="1" si="7"/>
        <v>15000</v>
      </c>
      <c r="AU29" s="3">
        <f t="shared" ca="1" si="7"/>
        <v>20000</v>
      </c>
      <c r="AV29" s="3">
        <f t="shared" ca="1" si="7"/>
        <v>20000</v>
      </c>
      <c r="AW29" s="3">
        <f t="shared" ca="1" si="7"/>
        <v>20000</v>
      </c>
      <c r="AX29" s="3">
        <f t="shared" ca="1" si="7"/>
        <v>25000</v>
      </c>
      <c r="AY29" s="3">
        <f t="shared" ca="1" si="7"/>
        <v>20000</v>
      </c>
      <c r="AZ29" s="3">
        <f t="shared" ca="1" si="7"/>
        <v>25000</v>
      </c>
      <c r="BA29" s="3">
        <f t="shared" ca="1" si="7"/>
        <v>30000</v>
      </c>
      <c r="BB29" s="3">
        <f t="shared" ca="1" si="7"/>
        <v>25000</v>
      </c>
      <c r="BC29" s="3">
        <f t="shared" ca="1" si="7"/>
        <v>30000</v>
      </c>
      <c r="BD29" s="3">
        <f t="shared" ca="1" si="7"/>
        <v>30000.000000000004</v>
      </c>
      <c r="BE29" s="3">
        <f t="shared" ca="1" si="7"/>
        <v>35000</v>
      </c>
      <c r="BF29" s="3">
        <f t="shared" ca="1" si="7"/>
        <v>35000</v>
      </c>
      <c r="BG29" s="3">
        <f t="shared" ca="1" si="7"/>
        <v>35000</v>
      </c>
      <c r="BH29" s="3">
        <f t="shared" ca="1" si="7"/>
        <v>40000</v>
      </c>
      <c r="BI29" s="3">
        <f t="shared" ca="1" si="7"/>
        <v>40000</v>
      </c>
      <c r="BJ29" s="3">
        <f t="shared" ca="1" si="7"/>
        <v>45000</v>
      </c>
      <c r="BK29" s="3">
        <f t="shared" ca="1" si="7"/>
        <v>45000</v>
      </c>
      <c r="BL29" s="3">
        <f t="shared" ca="1" si="7"/>
        <v>49999.999999999993</v>
      </c>
      <c r="BM29" s="3">
        <f t="shared" ca="1" si="7"/>
        <v>50000.000000000007</v>
      </c>
      <c r="BN29" s="3">
        <f t="shared" ca="1" si="7"/>
        <v>54999.999999999985</v>
      </c>
      <c r="BO29" s="3">
        <f t="shared" ca="1" si="7"/>
        <v>60000</v>
      </c>
      <c r="BP29" s="3">
        <f t="shared" ca="1" si="7"/>
        <v>60000</v>
      </c>
      <c r="BQ29" s="3">
        <f t="shared" ca="1" si="7"/>
        <v>65000</v>
      </c>
    </row>
    <row r="32" spans="1:69">
      <c r="B32" s="25" t="s">
        <v>344</v>
      </c>
    </row>
    <row r="33" spans="1:69" outlineLevel="1">
      <c r="A33" s="18"/>
      <c r="B33" s="18"/>
      <c r="C33" s="28"/>
      <c r="D33" s="27"/>
      <c r="E33" s="42" t="str">
        <f xml:space="preserve">  InpC!E$14</f>
        <v>Customer Retention</v>
      </c>
      <c r="F33" s="42">
        <f xml:space="preserve">  InpC!F$14</f>
        <v>0.9</v>
      </c>
      <c r="G33" s="42" t="str">
        <f xml:space="preserve">  InpC!G$14</f>
        <v>%</v>
      </c>
      <c r="M33" s="57"/>
    </row>
    <row r="34" spans="1:69" outlineLevel="1">
      <c r="E34" s="2" t="str">
        <f t="shared" ref="E34:BQ34" si="8" xml:space="preserve">  E$14</f>
        <v>New customer orders</v>
      </c>
      <c r="F34" s="2">
        <f t="shared" si="8"/>
        <v>0</v>
      </c>
      <c r="G34" s="2" t="str">
        <f t="shared" si="8"/>
        <v>Units</v>
      </c>
      <c r="H34" s="2">
        <f t="shared" si="8"/>
        <v>1374286.5308829343</v>
      </c>
      <c r="I34" s="2">
        <f t="shared" si="8"/>
        <v>0</v>
      </c>
      <c r="J34" s="2">
        <f t="shared" si="8"/>
        <v>1000</v>
      </c>
      <c r="K34" s="2">
        <f t="shared" si="8"/>
        <v>1000</v>
      </c>
      <c r="L34" s="2">
        <f t="shared" si="8"/>
        <v>1000</v>
      </c>
      <c r="M34" s="2">
        <f t="shared" si="8"/>
        <v>1000</v>
      </c>
      <c r="N34" s="2">
        <f t="shared" si="8"/>
        <v>3000</v>
      </c>
      <c r="O34" s="2">
        <f t="shared" si="8"/>
        <v>3000</v>
      </c>
      <c r="P34" s="2">
        <f t="shared" si="8"/>
        <v>3000</v>
      </c>
      <c r="Q34" s="2">
        <f t="shared" si="8"/>
        <v>5000</v>
      </c>
      <c r="R34" s="2">
        <f t="shared" si="8"/>
        <v>5000</v>
      </c>
      <c r="S34" s="2">
        <f t="shared" si="8"/>
        <v>5000</v>
      </c>
      <c r="T34" s="2">
        <f t="shared" si="8"/>
        <v>5000</v>
      </c>
      <c r="U34" s="2">
        <f t="shared" si="8"/>
        <v>5000</v>
      </c>
      <c r="V34" s="2">
        <f t="shared" si="8"/>
        <v>5297.3154717964762</v>
      </c>
      <c r="W34" s="2">
        <f t="shared" si="8"/>
        <v>5612.3102415468647</v>
      </c>
      <c r="X34" s="2">
        <f t="shared" si="8"/>
        <v>5946.035575013605</v>
      </c>
      <c r="Y34" s="2">
        <f t="shared" si="8"/>
        <v>6299.6052494743653</v>
      </c>
      <c r="Z34" s="2">
        <f t="shared" si="8"/>
        <v>6674.1992708501712</v>
      </c>
      <c r="AA34" s="2">
        <f t="shared" si="8"/>
        <v>7071.0678118654751</v>
      </c>
      <c r="AB34" s="2">
        <f t="shared" si="8"/>
        <v>7491.5353843834073</v>
      </c>
      <c r="AC34" s="2">
        <f t="shared" si="8"/>
        <v>7937.0052598409975</v>
      </c>
      <c r="AD34" s="2">
        <f t="shared" si="8"/>
        <v>8408.9641525371462</v>
      </c>
      <c r="AE34" s="2">
        <f t="shared" si="8"/>
        <v>8908.9871814033941</v>
      </c>
      <c r="AF34" s="2">
        <f t="shared" si="8"/>
        <v>9438.7431268169366</v>
      </c>
      <c r="AG34" s="2">
        <f t="shared" si="8"/>
        <v>10000.000000000002</v>
      </c>
      <c r="AH34" s="2">
        <f t="shared" si="8"/>
        <v>10594.630943592954</v>
      </c>
      <c r="AI34" s="2">
        <f t="shared" si="8"/>
        <v>11224.620483093731</v>
      </c>
      <c r="AJ34" s="2">
        <f t="shared" si="8"/>
        <v>11892.071150027214</v>
      </c>
      <c r="AK34" s="2">
        <f t="shared" si="8"/>
        <v>12599.210498948736</v>
      </c>
      <c r="AL34" s="2">
        <f t="shared" si="8"/>
        <v>13348.39854170035</v>
      </c>
      <c r="AM34" s="2">
        <f t="shared" si="8"/>
        <v>14142.135623730957</v>
      </c>
      <c r="AN34" s="2">
        <f t="shared" si="8"/>
        <v>14983.070768766824</v>
      </c>
      <c r="AO34" s="2">
        <f t="shared" si="8"/>
        <v>15874.010519682004</v>
      </c>
      <c r="AP34" s="2">
        <f t="shared" si="8"/>
        <v>16817.9283050743</v>
      </c>
      <c r="AQ34" s="2">
        <f t="shared" si="8"/>
        <v>17817.974362806795</v>
      </c>
      <c r="AR34" s="2">
        <f t="shared" si="8"/>
        <v>18877.486253633881</v>
      </c>
      <c r="AS34" s="2">
        <f t="shared" si="8"/>
        <v>20000.000000000011</v>
      </c>
      <c r="AT34" s="2">
        <f t="shared" si="8"/>
        <v>21189.261887185919</v>
      </c>
      <c r="AU34" s="2">
        <f t="shared" si="8"/>
        <v>22449.240966187477</v>
      </c>
      <c r="AV34" s="2">
        <f t="shared" si="8"/>
        <v>23784.142300054442</v>
      </c>
      <c r="AW34" s="2">
        <f t="shared" si="8"/>
        <v>25198.420997897487</v>
      </c>
      <c r="AX34" s="2">
        <f t="shared" si="8"/>
        <v>26696.797083400714</v>
      </c>
      <c r="AY34" s="2">
        <f t="shared" si="8"/>
        <v>28284.271247461929</v>
      </c>
      <c r="AZ34" s="2">
        <f t="shared" si="8"/>
        <v>29966.141537533662</v>
      </c>
      <c r="BA34" s="2">
        <f t="shared" si="8"/>
        <v>31748.021039364026</v>
      </c>
      <c r="BB34" s="2">
        <f t="shared" si="8"/>
        <v>33635.856610148621</v>
      </c>
      <c r="BC34" s="2">
        <f t="shared" si="8"/>
        <v>35635.948725613613</v>
      </c>
      <c r="BD34" s="2">
        <f t="shared" si="8"/>
        <v>37754.972507267783</v>
      </c>
      <c r="BE34" s="2">
        <f t="shared" si="8"/>
        <v>40000.000000000051</v>
      </c>
      <c r="BF34" s="2">
        <f t="shared" si="8"/>
        <v>42378.523774371868</v>
      </c>
      <c r="BG34" s="2">
        <f t="shared" si="8"/>
        <v>44898.481932374983</v>
      </c>
      <c r="BH34" s="2">
        <f t="shared" si="8"/>
        <v>47568.284600108913</v>
      </c>
      <c r="BI34" s="2">
        <f t="shared" si="8"/>
        <v>50396.841995795003</v>
      </c>
      <c r="BJ34" s="2">
        <f t="shared" si="8"/>
        <v>53393.594166801457</v>
      </c>
      <c r="BK34" s="2">
        <f t="shared" si="8"/>
        <v>56568.542494923888</v>
      </c>
      <c r="BL34" s="2">
        <f t="shared" si="8"/>
        <v>59932.283075067353</v>
      </c>
      <c r="BM34" s="2">
        <f t="shared" si="8"/>
        <v>63496.042078728082</v>
      </c>
      <c r="BN34" s="2">
        <f t="shared" si="8"/>
        <v>67271.713220297272</v>
      </c>
      <c r="BO34" s="2">
        <f t="shared" si="8"/>
        <v>71271.897451227269</v>
      </c>
      <c r="BP34" s="2">
        <f t="shared" si="8"/>
        <v>75509.94501453561</v>
      </c>
      <c r="BQ34" s="2">
        <f t="shared" si="8"/>
        <v>80000.000000000146</v>
      </c>
    </row>
    <row r="35" spans="1:69" outlineLevel="1">
      <c r="A35" s="34"/>
      <c r="B35" s="34"/>
      <c r="C35" s="64"/>
      <c r="D35" s="65"/>
      <c r="E35" s="21" t="s">
        <v>344</v>
      </c>
      <c r="F35" s="21"/>
      <c r="G35" s="21" t="s">
        <v>123</v>
      </c>
      <c r="H35" s="3">
        <f ca="1" xml:space="preserve"> SUM( J35:BQ35 )</f>
        <v>274731.57555892796</v>
      </c>
      <c r="I35" s="21"/>
      <c r="J35" s="3">
        <f ca="1" xml:space="preserve">  $F33 * IF( Time!J28 &lt; 1 + 24, 0, OFFSET( J34, 0, - 1 * ( 24 ) ) )</f>
        <v>0</v>
      </c>
      <c r="K35" s="3">
        <f ca="1" xml:space="preserve">  $F33 * IF( Time!K28 &lt; 1 + 24, 0, OFFSET( K34, 0, - 1 * ( 24 ) ) )</f>
        <v>0</v>
      </c>
      <c r="L35" s="3">
        <f ca="1" xml:space="preserve">  $F33 * IF( Time!L28 &lt; 1 + 24, 0, OFFSET( L34, 0, - 1 * ( 24 ) ) )</f>
        <v>0</v>
      </c>
      <c r="M35" s="3">
        <f ca="1" xml:space="preserve">  $F33 * IF( Time!M28 &lt; 1 + 24, 0, OFFSET( M34, 0, - 1 * ( 24 ) ) )</f>
        <v>0</v>
      </c>
      <c r="N35" s="3">
        <f ca="1" xml:space="preserve">  $F33 * IF( Time!N28 &lt; 1 + 24, 0, OFFSET( N34, 0, - 1 * ( 24 ) ) )</f>
        <v>0</v>
      </c>
      <c r="O35" s="3">
        <f ca="1" xml:space="preserve">  $F33 * IF( Time!O28 &lt; 1 + 24, 0, OFFSET( O34, 0, - 1 * ( 24 ) ) )</f>
        <v>0</v>
      </c>
      <c r="P35" s="3">
        <f ca="1" xml:space="preserve">  $F33 * IF( Time!P28 &lt; 1 + 24, 0, OFFSET( P34, 0, - 1 * ( 24 ) ) )</f>
        <v>0</v>
      </c>
      <c r="Q35" s="3">
        <f ca="1" xml:space="preserve">  $F33 * IF( Time!Q28 &lt; 1 + 24, 0, OFFSET( Q34, 0, - 1 * ( 24 ) ) )</f>
        <v>0</v>
      </c>
      <c r="R35" s="3">
        <f ca="1" xml:space="preserve">  $F33 * IF( Time!R28 &lt; 1 + 24, 0, OFFSET( R34, 0, - 1 * ( 24 ) ) )</f>
        <v>0</v>
      </c>
      <c r="S35" s="3">
        <f ca="1" xml:space="preserve">  $F33 * IF( Time!S28 &lt; 1 + 24, 0, OFFSET( S34, 0, - 1 * ( 24 ) ) )</f>
        <v>0</v>
      </c>
      <c r="T35" s="3">
        <f ca="1" xml:space="preserve">  $F33 * IF( Time!T28 &lt; 1 + 24, 0, OFFSET( T34, 0, - 1 * ( 24 ) ) )</f>
        <v>0</v>
      </c>
      <c r="U35" s="3">
        <f ca="1" xml:space="preserve">  $F33 * IF( Time!U28 &lt; 1 + 24, 0, OFFSET( U34, 0, - 1 * ( 24 ) ) )</f>
        <v>0</v>
      </c>
      <c r="V35" s="3">
        <f ca="1" xml:space="preserve">  $F33 * IF( Time!V28 &lt; 1 + 24, 0, OFFSET( V34, 0, - 1 * ( 24 ) ) )</f>
        <v>0</v>
      </c>
      <c r="W35" s="3">
        <f ca="1" xml:space="preserve">  $F33 * IF( Time!W28 &lt; 1 + 24, 0, OFFSET( W34, 0, - 1 * ( 24 ) ) )</f>
        <v>0</v>
      </c>
      <c r="X35" s="3">
        <f ca="1" xml:space="preserve">  $F33 * IF( Time!X28 &lt; 1 + 24, 0, OFFSET( X34, 0, - 1 * ( 24 ) ) )</f>
        <v>0</v>
      </c>
      <c r="Y35" s="3">
        <f ca="1" xml:space="preserve">  $F33 * IF( Time!Y28 &lt; 1 + 24, 0, OFFSET( Y34, 0, - 1 * ( 24 ) ) )</f>
        <v>0</v>
      </c>
      <c r="Z35" s="3">
        <f ca="1" xml:space="preserve">  $F33 * IF( Time!Z28 &lt; 1 + 24, 0, OFFSET( Z34, 0, - 1 * ( 24 ) ) )</f>
        <v>0</v>
      </c>
      <c r="AA35" s="3">
        <f ca="1" xml:space="preserve">  $F33 * IF( Time!AA28 &lt; 1 + 24, 0, OFFSET( AA34, 0, - 1 * ( 24 ) ) )</f>
        <v>0</v>
      </c>
      <c r="AB35" s="3">
        <f ca="1" xml:space="preserve">  $F33 * IF( Time!AB28 &lt; 1 + 24, 0, OFFSET( AB34, 0, - 1 * ( 24 ) ) )</f>
        <v>0</v>
      </c>
      <c r="AC35" s="3">
        <f ca="1" xml:space="preserve">  $F33 * IF( Time!AC28 &lt; 1 + 24, 0, OFFSET( AC34, 0, - 1 * ( 24 ) ) )</f>
        <v>0</v>
      </c>
      <c r="AD35" s="3">
        <f ca="1" xml:space="preserve">  $F33 * IF( Time!AD28 &lt; 1 + 24, 0, OFFSET( AD34, 0, - 1 * ( 24 ) ) )</f>
        <v>0</v>
      </c>
      <c r="AE35" s="3">
        <f ca="1" xml:space="preserve">  $F33 * IF( Time!AE28 &lt; 1 + 24, 0, OFFSET( AE34, 0, - 1 * ( 24 ) ) )</f>
        <v>0</v>
      </c>
      <c r="AF35" s="3">
        <f ca="1" xml:space="preserve">  $F33 * IF( Time!AF28 &lt; 1 + 24, 0, OFFSET( AF34, 0, - 1 * ( 24 ) ) )</f>
        <v>0</v>
      </c>
      <c r="AG35" s="3">
        <f ca="1" xml:space="preserve">  $F33 * IF( Time!AG28 &lt; 1 + 24, 0, OFFSET( AG34, 0, - 1 * ( 24 ) ) )</f>
        <v>0</v>
      </c>
      <c r="AH35" s="3">
        <f ca="1" xml:space="preserve">  $F33 * IF( Time!AH28 &lt; 1 + 24, 0, OFFSET( AH34, 0, - 1 * ( 24 ) ) )</f>
        <v>900</v>
      </c>
      <c r="AI35" s="3">
        <f ca="1" xml:space="preserve">  $F33 * IF( Time!AI28 &lt; 1 + 24, 0, OFFSET( AI34, 0, - 1 * ( 24 ) ) )</f>
        <v>900</v>
      </c>
      <c r="AJ35" s="3">
        <f ca="1" xml:space="preserve">  $F33 * IF( Time!AJ28 &lt; 1 + 24, 0, OFFSET( AJ34, 0, - 1 * ( 24 ) ) )</f>
        <v>900</v>
      </c>
      <c r="AK35" s="3">
        <f ca="1" xml:space="preserve">  $F33 * IF( Time!AK28 &lt; 1 + 24, 0, OFFSET( AK34, 0, - 1 * ( 24 ) ) )</f>
        <v>900</v>
      </c>
      <c r="AL35" s="3">
        <f ca="1" xml:space="preserve">  $F33 * IF( Time!AL28 &lt; 1 + 24, 0, OFFSET( AL34, 0, - 1 * ( 24 ) ) )</f>
        <v>2700</v>
      </c>
      <c r="AM35" s="3">
        <f ca="1" xml:space="preserve">  $F33 * IF( Time!AM28 &lt; 1 + 24, 0, OFFSET( AM34, 0, - 1 * ( 24 ) ) )</f>
        <v>2700</v>
      </c>
      <c r="AN35" s="3">
        <f ca="1" xml:space="preserve">  $F33 * IF( Time!AN28 &lt; 1 + 24, 0, OFFSET( AN34, 0, - 1 * ( 24 ) ) )</f>
        <v>2700</v>
      </c>
      <c r="AO35" s="3">
        <f ca="1" xml:space="preserve">  $F33 * IF( Time!AO28 &lt; 1 + 24, 0, OFFSET( AO34, 0, - 1 * ( 24 ) ) )</f>
        <v>4500</v>
      </c>
      <c r="AP35" s="3">
        <f ca="1" xml:space="preserve">  $F33 * IF( Time!AP28 &lt; 1 + 24, 0, OFFSET( AP34, 0, - 1 * ( 24 ) ) )</f>
        <v>4500</v>
      </c>
      <c r="AQ35" s="3">
        <f ca="1" xml:space="preserve">  $F33 * IF( Time!AQ28 &lt; 1 + 24, 0, OFFSET( AQ34, 0, - 1 * ( 24 ) ) )</f>
        <v>4500</v>
      </c>
      <c r="AR35" s="3">
        <f ca="1" xml:space="preserve">  $F33 * IF( Time!AR28 &lt; 1 + 24, 0, OFFSET( AR34, 0, - 1 * ( 24 ) ) )</f>
        <v>4500</v>
      </c>
      <c r="AS35" s="3">
        <f ca="1" xml:space="preserve">  $F33 * IF( Time!AS28 &lt; 1 + 24, 0, OFFSET( AS34, 0, - 1 * ( 24 ) ) )</f>
        <v>4500</v>
      </c>
      <c r="AT35" s="3">
        <f ca="1" xml:space="preserve">  $F33 * IF( Time!AT28 &lt; 1 + 24, 0, OFFSET( AT34, 0, - 1 * ( 24 ) ) )</f>
        <v>4767.5839246168289</v>
      </c>
      <c r="AU35" s="3">
        <f ca="1" xml:space="preserve">  $F33 * IF( Time!AU28 &lt; 1 + 24, 0, OFFSET( AU34, 0, - 1 * ( 24 ) ) )</f>
        <v>5051.0792173921782</v>
      </c>
      <c r="AV35" s="3">
        <f ca="1" xml:space="preserve">  $F33 * IF( Time!AV28 &lt; 1 + 24, 0, OFFSET( AV34, 0, - 1 * ( 24 ) ) )</f>
        <v>5351.4320175122448</v>
      </c>
      <c r="AW35" s="3">
        <f ca="1" xml:space="preserve">  $F33 * IF( Time!AW28 &lt; 1 + 24, 0, OFFSET( AW34, 0, - 1 * ( 24 ) ) )</f>
        <v>5669.6447245269292</v>
      </c>
      <c r="AX35" s="3">
        <f ca="1" xml:space="preserve">  $F33 * IF( Time!AX28 &lt; 1 + 24, 0, OFFSET( AX34, 0, - 1 * ( 24 ) ) )</f>
        <v>6006.7793437651544</v>
      </c>
      <c r="AY35" s="3">
        <f ca="1" xml:space="preserve">  $F33 * IF( Time!AY28 &lt; 1 + 24, 0, OFFSET( AY34, 0, - 1 * ( 24 ) ) )</f>
        <v>6363.9610306789273</v>
      </c>
      <c r="AZ35" s="3">
        <f ca="1" xml:space="preserve">  $F33 * IF( Time!AZ28 &lt; 1 + 24, 0, OFFSET( AZ34, 0, - 1 * ( 24 ) ) )</f>
        <v>6742.3818459450667</v>
      </c>
      <c r="BA35" s="3">
        <f ca="1" xml:space="preserve">  $F33 * IF( Time!BA28 &lt; 1 + 24, 0, OFFSET( BA34, 0, - 1 * ( 24 ) ) )</f>
        <v>7143.3047338568977</v>
      </c>
      <c r="BB35" s="3">
        <f ca="1" xml:space="preserve">  $F33 * IF( Time!BB28 &lt; 1 + 24, 0, OFFSET( BB34, 0, - 1 * ( 24 ) ) )</f>
        <v>7568.0677372834316</v>
      </c>
      <c r="BC35" s="3">
        <f ca="1" xml:space="preserve">  $F33 * IF( Time!BC28 &lt; 1 + 24, 0, OFFSET( BC34, 0, - 1 * ( 24 ) ) )</f>
        <v>8018.088463263055</v>
      </c>
      <c r="BD35" s="3">
        <f ca="1" xml:space="preserve">  $F33 * IF( Time!BD28 &lt; 1 + 24, 0, OFFSET( BD34, 0, - 1 * ( 24 ) ) )</f>
        <v>8494.8688141352432</v>
      </c>
      <c r="BE35" s="3">
        <f ca="1" xml:space="preserve">  $F33 * IF( Time!BE28 &lt; 1 + 24, 0, OFFSET( BE34, 0, - 1 * ( 24 ) ) )</f>
        <v>9000.0000000000018</v>
      </c>
      <c r="BF35" s="3">
        <f ca="1" xml:space="preserve">  $F33 * IF( Time!BF28 &lt; 1 + 24, 0, OFFSET( BF34, 0, - 1 * ( 24 ) ) )</f>
        <v>9535.1678492336596</v>
      </c>
      <c r="BG35" s="3">
        <f ca="1" xml:space="preserve">  $F33 * IF( Time!BG28 &lt; 1 + 24, 0, OFFSET( BG34, 0, - 1 * ( 24 ) ) )</f>
        <v>10102.158434784358</v>
      </c>
      <c r="BH35" s="3">
        <f ca="1" xml:space="preserve">  $F33 * IF( Time!BH28 &lt; 1 + 24, 0, OFFSET( BH34, 0, - 1 * ( 24 ) ) )</f>
        <v>10702.864035024493</v>
      </c>
      <c r="BI35" s="3">
        <f ca="1" xml:space="preserve">  $F33 * IF( Time!BI28 &lt; 1 + 24, 0, OFFSET( BI34, 0, - 1 * ( 24 ) ) )</f>
        <v>11339.289449053862</v>
      </c>
      <c r="BJ35" s="3">
        <f ca="1" xml:space="preserve">  $F33 * IF( Time!BJ28 &lt; 1 + 24, 0, OFFSET( BJ34, 0, - 1 * ( 24 ) ) )</f>
        <v>12013.558687530314</v>
      </c>
      <c r="BK35" s="3">
        <f ca="1" xml:space="preserve">  $F33 * IF( Time!BK28 &lt; 1 + 24, 0, OFFSET( BK34, 0, - 1 * ( 24 ) ) )</f>
        <v>12727.922061357862</v>
      </c>
      <c r="BL35" s="3">
        <f ca="1" xml:space="preserve">  $F33 * IF( Time!BL28 &lt; 1 + 24, 0, OFFSET( BL34, 0, - 1 * ( 24 ) ) )</f>
        <v>13484.763691890141</v>
      </c>
      <c r="BM35" s="3">
        <f ca="1" xml:space="preserve">  $F33 * IF( Time!BM28 &lt; 1 + 24, 0, OFFSET( BM34, 0, - 1 * ( 24 ) ) )</f>
        <v>14286.609467713804</v>
      </c>
      <c r="BN35" s="3">
        <f ca="1" xml:space="preserve">  $F33 * IF( Time!BN28 &lt; 1 + 24, 0, OFFSET( BN34, 0, - 1 * ( 24 ) ) )</f>
        <v>15136.13547456687</v>
      </c>
      <c r="BO35" s="3">
        <f ca="1" xml:space="preserve">  $F33 * IF( Time!BO28 &lt; 1 + 24, 0, OFFSET( BO34, 0, - 1 * ( 24 ) ) )</f>
        <v>16036.176926526115</v>
      </c>
      <c r="BP35" s="3">
        <f ca="1" xml:space="preserve">  $F33 * IF( Time!BP28 &lt; 1 + 24, 0, OFFSET( BP34, 0, - 1 * ( 24 ) ) )</f>
        <v>16989.737628270494</v>
      </c>
      <c r="BQ35" s="3">
        <f ca="1" xml:space="preserve">  $F33 * IF( Time!BQ28 &lt; 1 + 24, 0, OFFSET( BQ34, 0, - 1 * ( 24 ) ) )</f>
        <v>18000.000000000011</v>
      </c>
    </row>
    <row r="38" spans="1:69">
      <c r="B38" s="25" t="s">
        <v>172</v>
      </c>
    </row>
    <row r="39" spans="1:69" outlineLevel="1">
      <c r="A39" s="18"/>
      <c r="B39" s="18"/>
      <c r="C39" s="28"/>
      <c r="D39" s="27"/>
      <c r="E39" s="4" t="str">
        <f xml:space="preserve">  InpC!E$20</f>
        <v>Sales Price Unit</v>
      </c>
      <c r="F39" s="4">
        <f xml:space="preserve">  InpC!F$20</f>
        <v>12</v>
      </c>
      <c r="G39" s="4" t="str">
        <f xml:space="preserve">  InpC!G$20</f>
        <v>GBP</v>
      </c>
      <c r="M39" s="2"/>
    </row>
    <row r="40" spans="1:69" outlineLevel="1">
      <c r="A40" s="18"/>
      <c r="B40" s="18"/>
      <c r="C40" s="28"/>
      <c r="D40" s="27"/>
      <c r="E40" s="4" t="str">
        <f xml:space="preserve">  InpC!E$21</f>
        <v>Contract Length</v>
      </c>
      <c r="F40" s="4">
        <f xml:space="preserve">  InpC!F$21</f>
        <v>24</v>
      </c>
      <c r="G40" s="4" t="str">
        <f xml:space="preserve">  InpC!G$21</f>
        <v>Months</v>
      </c>
      <c r="M40" s="2"/>
    </row>
    <row r="41" spans="1:69" outlineLevel="1">
      <c r="E41" s="2" t="str">
        <f t="shared" ref="E41:BQ41" si="9" xml:space="preserve">  E$14</f>
        <v>New customer orders</v>
      </c>
      <c r="F41" s="2">
        <f t="shared" si="9"/>
        <v>0</v>
      </c>
      <c r="G41" s="2" t="str">
        <f t="shared" si="9"/>
        <v>Units</v>
      </c>
      <c r="H41" s="2">
        <f t="shared" si="9"/>
        <v>1374286.5308829343</v>
      </c>
      <c r="I41" s="2">
        <f t="shared" si="9"/>
        <v>0</v>
      </c>
      <c r="J41" s="2">
        <f t="shared" si="9"/>
        <v>1000</v>
      </c>
      <c r="K41" s="2">
        <f t="shared" si="9"/>
        <v>1000</v>
      </c>
      <c r="L41" s="2">
        <f t="shared" si="9"/>
        <v>1000</v>
      </c>
      <c r="M41" s="2">
        <f t="shared" si="9"/>
        <v>1000</v>
      </c>
      <c r="N41" s="2">
        <f t="shared" si="9"/>
        <v>3000</v>
      </c>
      <c r="O41" s="2">
        <f t="shared" si="9"/>
        <v>3000</v>
      </c>
      <c r="P41" s="2">
        <f t="shared" si="9"/>
        <v>3000</v>
      </c>
      <c r="Q41" s="2">
        <f t="shared" si="9"/>
        <v>5000</v>
      </c>
      <c r="R41" s="2">
        <f t="shared" si="9"/>
        <v>5000</v>
      </c>
      <c r="S41" s="2">
        <f t="shared" si="9"/>
        <v>5000</v>
      </c>
      <c r="T41" s="2">
        <f t="shared" si="9"/>
        <v>5000</v>
      </c>
      <c r="U41" s="2">
        <f t="shared" si="9"/>
        <v>5000</v>
      </c>
      <c r="V41" s="2">
        <f t="shared" si="9"/>
        <v>5297.3154717964762</v>
      </c>
      <c r="W41" s="2">
        <f t="shared" si="9"/>
        <v>5612.3102415468647</v>
      </c>
      <c r="X41" s="2">
        <f t="shared" si="9"/>
        <v>5946.035575013605</v>
      </c>
      <c r="Y41" s="2">
        <f t="shared" si="9"/>
        <v>6299.6052494743653</v>
      </c>
      <c r="Z41" s="2">
        <f t="shared" si="9"/>
        <v>6674.1992708501712</v>
      </c>
      <c r="AA41" s="2">
        <f t="shared" si="9"/>
        <v>7071.0678118654751</v>
      </c>
      <c r="AB41" s="2">
        <f t="shared" si="9"/>
        <v>7491.5353843834073</v>
      </c>
      <c r="AC41" s="2">
        <f t="shared" si="9"/>
        <v>7937.0052598409975</v>
      </c>
      <c r="AD41" s="2">
        <f t="shared" si="9"/>
        <v>8408.9641525371462</v>
      </c>
      <c r="AE41" s="2">
        <f t="shared" si="9"/>
        <v>8908.9871814033941</v>
      </c>
      <c r="AF41" s="2">
        <f t="shared" si="9"/>
        <v>9438.7431268169366</v>
      </c>
      <c r="AG41" s="2">
        <f t="shared" si="9"/>
        <v>10000.000000000002</v>
      </c>
      <c r="AH41" s="2">
        <f t="shared" si="9"/>
        <v>10594.630943592954</v>
      </c>
      <c r="AI41" s="2">
        <f t="shared" si="9"/>
        <v>11224.620483093731</v>
      </c>
      <c r="AJ41" s="2">
        <f t="shared" si="9"/>
        <v>11892.071150027214</v>
      </c>
      <c r="AK41" s="2">
        <f t="shared" si="9"/>
        <v>12599.210498948736</v>
      </c>
      <c r="AL41" s="2">
        <f t="shared" si="9"/>
        <v>13348.39854170035</v>
      </c>
      <c r="AM41" s="2">
        <f t="shared" si="9"/>
        <v>14142.135623730957</v>
      </c>
      <c r="AN41" s="2">
        <f t="shared" si="9"/>
        <v>14983.070768766824</v>
      </c>
      <c r="AO41" s="2">
        <f t="shared" si="9"/>
        <v>15874.010519682004</v>
      </c>
      <c r="AP41" s="2">
        <f t="shared" si="9"/>
        <v>16817.9283050743</v>
      </c>
      <c r="AQ41" s="2">
        <f t="shared" si="9"/>
        <v>17817.974362806795</v>
      </c>
      <c r="AR41" s="2">
        <f t="shared" si="9"/>
        <v>18877.486253633881</v>
      </c>
      <c r="AS41" s="2">
        <f t="shared" si="9"/>
        <v>20000.000000000011</v>
      </c>
      <c r="AT41" s="2">
        <f t="shared" si="9"/>
        <v>21189.261887185919</v>
      </c>
      <c r="AU41" s="2">
        <f t="shared" si="9"/>
        <v>22449.240966187477</v>
      </c>
      <c r="AV41" s="2">
        <f t="shared" si="9"/>
        <v>23784.142300054442</v>
      </c>
      <c r="AW41" s="2">
        <f t="shared" si="9"/>
        <v>25198.420997897487</v>
      </c>
      <c r="AX41" s="2">
        <f t="shared" si="9"/>
        <v>26696.797083400714</v>
      </c>
      <c r="AY41" s="2">
        <f t="shared" si="9"/>
        <v>28284.271247461929</v>
      </c>
      <c r="AZ41" s="2">
        <f t="shared" si="9"/>
        <v>29966.141537533662</v>
      </c>
      <c r="BA41" s="2">
        <f t="shared" si="9"/>
        <v>31748.021039364026</v>
      </c>
      <c r="BB41" s="2">
        <f t="shared" si="9"/>
        <v>33635.856610148621</v>
      </c>
      <c r="BC41" s="2">
        <f t="shared" si="9"/>
        <v>35635.948725613613</v>
      </c>
      <c r="BD41" s="2">
        <f t="shared" si="9"/>
        <v>37754.972507267783</v>
      </c>
      <c r="BE41" s="2">
        <f t="shared" si="9"/>
        <v>40000.000000000051</v>
      </c>
      <c r="BF41" s="2">
        <f t="shared" si="9"/>
        <v>42378.523774371868</v>
      </c>
      <c r="BG41" s="2">
        <f t="shared" si="9"/>
        <v>44898.481932374983</v>
      </c>
      <c r="BH41" s="2">
        <f t="shared" si="9"/>
        <v>47568.284600108913</v>
      </c>
      <c r="BI41" s="2">
        <f t="shared" si="9"/>
        <v>50396.841995795003</v>
      </c>
      <c r="BJ41" s="2">
        <f t="shared" si="9"/>
        <v>53393.594166801457</v>
      </c>
      <c r="BK41" s="2">
        <f t="shared" si="9"/>
        <v>56568.542494923888</v>
      </c>
      <c r="BL41" s="2">
        <f t="shared" si="9"/>
        <v>59932.283075067353</v>
      </c>
      <c r="BM41" s="2">
        <f t="shared" si="9"/>
        <v>63496.042078728082</v>
      </c>
      <c r="BN41" s="2">
        <f t="shared" si="9"/>
        <v>67271.713220297272</v>
      </c>
      <c r="BO41" s="2">
        <f t="shared" si="9"/>
        <v>71271.897451227269</v>
      </c>
      <c r="BP41" s="2">
        <f t="shared" si="9"/>
        <v>75509.94501453561</v>
      </c>
      <c r="BQ41" s="2">
        <f t="shared" si="9"/>
        <v>80000.000000000146</v>
      </c>
    </row>
    <row r="42" spans="1:69" outlineLevel="1">
      <c r="E42" s="2" t="str">
        <f t="shared" ref="E42:BQ42" si="10" xml:space="preserve">  E$35</f>
        <v>Renewing Customer Orders</v>
      </c>
      <c r="F42" s="2">
        <f t="shared" si="10"/>
        <v>0</v>
      </c>
      <c r="G42" s="2" t="str">
        <f t="shared" si="10"/>
        <v>Units</v>
      </c>
      <c r="H42" s="2">
        <f t="shared" ca="1" si="10"/>
        <v>274731.57555892796</v>
      </c>
      <c r="I42" s="2">
        <f t="shared" si="10"/>
        <v>0</v>
      </c>
      <c r="J42" s="2">
        <f t="shared" ca="1" si="10"/>
        <v>0</v>
      </c>
      <c r="K42" s="2">
        <f t="shared" ca="1" si="10"/>
        <v>0</v>
      </c>
      <c r="L42" s="2">
        <f t="shared" ca="1" si="10"/>
        <v>0</v>
      </c>
      <c r="M42" s="2">
        <f t="shared" ca="1" si="10"/>
        <v>0</v>
      </c>
      <c r="N42" s="2">
        <f t="shared" ca="1" si="10"/>
        <v>0</v>
      </c>
      <c r="O42" s="2">
        <f t="shared" ca="1" si="10"/>
        <v>0</v>
      </c>
      <c r="P42" s="2">
        <f t="shared" ca="1" si="10"/>
        <v>0</v>
      </c>
      <c r="Q42" s="2">
        <f t="shared" ca="1" si="10"/>
        <v>0</v>
      </c>
      <c r="R42" s="2">
        <f t="shared" ca="1" si="10"/>
        <v>0</v>
      </c>
      <c r="S42" s="2">
        <f t="shared" ca="1" si="10"/>
        <v>0</v>
      </c>
      <c r="T42" s="2">
        <f t="shared" ca="1" si="10"/>
        <v>0</v>
      </c>
      <c r="U42" s="2">
        <f t="shared" ca="1" si="10"/>
        <v>0</v>
      </c>
      <c r="V42" s="2">
        <f t="shared" ca="1" si="10"/>
        <v>0</v>
      </c>
      <c r="W42" s="2">
        <f t="shared" ca="1" si="10"/>
        <v>0</v>
      </c>
      <c r="X42" s="2">
        <f t="shared" ca="1" si="10"/>
        <v>0</v>
      </c>
      <c r="Y42" s="2">
        <f t="shared" ca="1" si="10"/>
        <v>0</v>
      </c>
      <c r="Z42" s="2">
        <f t="shared" ca="1" si="10"/>
        <v>0</v>
      </c>
      <c r="AA42" s="2">
        <f t="shared" ca="1" si="10"/>
        <v>0</v>
      </c>
      <c r="AB42" s="2">
        <f t="shared" ca="1" si="10"/>
        <v>0</v>
      </c>
      <c r="AC42" s="2">
        <f t="shared" ca="1" si="10"/>
        <v>0</v>
      </c>
      <c r="AD42" s="2">
        <f t="shared" ca="1" si="10"/>
        <v>0</v>
      </c>
      <c r="AE42" s="2">
        <f t="shared" ca="1" si="10"/>
        <v>0</v>
      </c>
      <c r="AF42" s="2">
        <f t="shared" ca="1" si="10"/>
        <v>0</v>
      </c>
      <c r="AG42" s="2">
        <f t="shared" ca="1" si="10"/>
        <v>0</v>
      </c>
      <c r="AH42" s="2">
        <f t="shared" ca="1" si="10"/>
        <v>900</v>
      </c>
      <c r="AI42" s="2">
        <f t="shared" ca="1" si="10"/>
        <v>900</v>
      </c>
      <c r="AJ42" s="2">
        <f t="shared" ca="1" si="10"/>
        <v>900</v>
      </c>
      <c r="AK42" s="2">
        <f t="shared" ca="1" si="10"/>
        <v>900</v>
      </c>
      <c r="AL42" s="2">
        <f t="shared" ca="1" si="10"/>
        <v>2700</v>
      </c>
      <c r="AM42" s="2">
        <f t="shared" ca="1" si="10"/>
        <v>2700</v>
      </c>
      <c r="AN42" s="2">
        <f t="shared" ca="1" si="10"/>
        <v>2700</v>
      </c>
      <c r="AO42" s="2">
        <f t="shared" ca="1" si="10"/>
        <v>4500</v>
      </c>
      <c r="AP42" s="2">
        <f t="shared" ca="1" si="10"/>
        <v>4500</v>
      </c>
      <c r="AQ42" s="2">
        <f t="shared" ca="1" si="10"/>
        <v>4500</v>
      </c>
      <c r="AR42" s="2">
        <f t="shared" ca="1" si="10"/>
        <v>4500</v>
      </c>
      <c r="AS42" s="2">
        <f t="shared" ca="1" si="10"/>
        <v>4500</v>
      </c>
      <c r="AT42" s="2">
        <f t="shared" ca="1" si="10"/>
        <v>4767.5839246168289</v>
      </c>
      <c r="AU42" s="2">
        <f t="shared" ca="1" si="10"/>
        <v>5051.0792173921782</v>
      </c>
      <c r="AV42" s="2">
        <f t="shared" ca="1" si="10"/>
        <v>5351.4320175122448</v>
      </c>
      <c r="AW42" s="2">
        <f t="shared" ca="1" si="10"/>
        <v>5669.6447245269292</v>
      </c>
      <c r="AX42" s="2">
        <f t="shared" ca="1" si="10"/>
        <v>6006.7793437651544</v>
      </c>
      <c r="AY42" s="2">
        <f t="shared" ca="1" si="10"/>
        <v>6363.9610306789273</v>
      </c>
      <c r="AZ42" s="2">
        <f t="shared" ca="1" si="10"/>
        <v>6742.3818459450667</v>
      </c>
      <c r="BA42" s="2">
        <f t="shared" ca="1" si="10"/>
        <v>7143.3047338568977</v>
      </c>
      <c r="BB42" s="2">
        <f t="shared" ca="1" si="10"/>
        <v>7568.0677372834316</v>
      </c>
      <c r="BC42" s="2">
        <f t="shared" ca="1" si="10"/>
        <v>8018.088463263055</v>
      </c>
      <c r="BD42" s="2">
        <f t="shared" ca="1" si="10"/>
        <v>8494.8688141352432</v>
      </c>
      <c r="BE42" s="2">
        <f t="shared" ca="1" si="10"/>
        <v>9000.0000000000018</v>
      </c>
      <c r="BF42" s="2">
        <f t="shared" ca="1" si="10"/>
        <v>9535.1678492336596</v>
      </c>
      <c r="BG42" s="2">
        <f t="shared" ca="1" si="10"/>
        <v>10102.158434784358</v>
      </c>
      <c r="BH42" s="2">
        <f t="shared" ca="1" si="10"/>
        <v>10702.864035024493</v>
      </c>
      <c r="BI42" s="2">
        <f t="shared" ca="1" si="10"/>
        <v>11339.289449053862</v>
      </c>
      <c r="BJ42" s="2">
        <f t="shared" ca="1" si="10"/>
        <v>12013.558687530314</v>
      </c>
      <c r="BK42" s="2">
        <f t="shared" ca="1" si="10"/>
        <v>12727.922061357862</v>
      </c>
      <c r="BL42" s="2">
        <f t="shared" ca="1" si="10"/>
        <v>13484.763691890141</v>
      </c>
      <c r="BM42" s="2">
        <f t="shared" ca="1" si="10"/>
        <v>14286.609467713804</v>
      </c>
      <c r="BN42" s="2">
        <f t="shared" ca="1" si="10"/>
        <v>15136.13547456687</v>
      </c>
      <c r="BO42" s="2">
        <f t="shared" ca="1" si="10"/>
        <v>16036.176926526115</v>
      </c>
      <c r="BP42" s="2">
        <f t="shared" ca="1" si="10"/>
        <v>16989.737628270494</v>
      </c>
      <c r="BQ42" s="2">
        <f t="shared" ca="1" si="10"/>
        <v>18000.000000000011</v>
      </c>
    </row>
    <row r="43" spans="1:69" outlineLevel="1">
      <c r="A43" s="34"/>
      <c r="B43" s="34"/>
      <c r="C43" s="64"/>
      <c r="D43" s="65"/>
      <c r="E43" s="21" t="s">
        <v>172</v>
      </c>
      <c r="F43" s="21"/>
      <c r="G43" s="21" t="s">
        <v>258</v>
      </c>
      <c r="H43" s="3">
        <f ca="1" xml:space="preserve"> SUM( J43:BQ43 )</f>
        <v>474917214.65525633</v>
      </c>
      <c r="I43" s="21"/>
      <c r="J43" s="3">
        <f t="shared" ref="J43:BQ43" ca="1" si="11" xml:space="preserve">  ( J41 + J42 ) * $F39 * $F40</f>
        <v>288000</v>
      </c>
      <c r="K43" s="3">
        <f t="shared" ca="1" si="11"/>
        <v>288000</v>
      </c>
      <c r="L43" s="3">
        <f t="shared" ca="1" si="11"/>
        <v>288000</v>
      </c>
      <c r="M43" s="3">
        <f t="shared" ca="1" si="11"/>
        <v>288000</v>
      </c>
      <c r="N43" s="3">
        <f t="shared" ca="1" si="11"/>
        <v>864000</v>
      </c>
      <c r="O43" s="3">
        <f t="shared" ca="1" si="11"/>
        <v>864000</v>
      </c>
      <c r="P43" s="3">
        <f t="shared" ca="1" si="11"/>
        <v>864000</v>
      </c>
      <c r="Q43" s="3">
        <f t="shared" ca="1" si="11"/>
        <v>1440000</v>
      </c>
      <c r="R43" s="3">
        <f t="shared" ca="1" si="11"/>
        <v>1440000</v>
      </c>
      <c r="S43" s="3">
        <f t="shared" ca="1" si="11"/>
        <v>1440000</v>
      </c>
      <c r="T43" s="3">
        <f t="shared" ca="1" si="11"/>
        <v>1440000</v>
      </c>
      <c r="U43" s="3">
        <f t="shared" ca="1" si="11"/>
        <v>1440000</v>
      </c>
      <c r="V43" s="3">
        <f t="shared" ca="1" si="11"/>
        <v>1525626.8558773852</v>
      </c>
      <c r="W43" s="3">
        <f t="shared" ca="1" si="11"/>
        <v>1616345.3495654971</v>
      </c>
      <c r="X43" s="3">
        <f t="shared" ca="1" si="11"/>
        <v>1712458.2456039183</v>
      </c>
      <c r="Y43" s="3">
        <f t="shared" ca="1" si="11"/>
        <v>1814286.3118486174</v>
      </c>
      <c r="Z43" s="3">
        <f t="shared" ca="1" si="11"/>
        <v>1922169.3900048493</v>
      </c>
      <c r="AA43" s="3">
        <f t="shared" ca="1" si="11"/>
        <v>2036467.5298172566</v>
      </c>
      <c r="AB43" s="3">
        <f t="shared" ca="1" si="11"/>
        <v>2157562.1907024211</v>
      </c>
      <c r="AC43" s="3">
        <f t="shared" ca="1" si="11"/>
        <v>2285857.5148342075</v>
      </c>
      <c r="AD43" s="3">
        <f t="shared" ca="1" si="11"/>
        <v>2421781.6759306979</v>
      </c>
      <c r="AE43" s="3">
        <f t="shared" ca="1" si="11"/>
        <v>2565788.3082441776</v>
      </c>
      <c r="AF43" s="3">
        <f t="shared" ca="1" si="11"/>
        <v>2718358.0205232776</v>
      </c>
      <c r="AG43" s="3">
        <f t="shared" ca="1" si="11"/>
        <v>2880000.0000000009</v>
      </c>
      <c r="AH43" s="3">
        <f t="shared" ca="1" si="11"/>
        <v>3310453.7117547705</v>
      </c>
      <c r="AI43" s="3">
        <f t="shared" ca="1" si="11"/>
        <v>3491890.6991309943</v>
      </c>
      <c r="AJ43" s="3">
        <f t="shared" ca="1" si="11"/>
        <v>3684116.4912078371</v>
      </c>
      <c r="AK43" s="3">
        <f t="shared" ca="1" si="11"/>
        <v>3887772.6236972362</v>
      </c>
      <c r="AL43" s="3">
        <f t="shared" ca="1" si="11"/>
        <v>4621938.7800097009</v>
      </c>
      <c r="AM43" s="3">
        <f t="shared" ca="1" si="11"/>
        <v>4850535.059634516</v>
      </c>
      <c r="AN43" s="3">
        <f t="shared" ca="1" si="11"/>
        <v>5092724.381404846</v>
      </c>
      <c r="AO43" s="3">
        <f t="shared" ca="1" si="11"/>
        <v>5867715.0296684168</v>
      </c>
      <c r="AP43" s="3">
        <f t="shared" ca="1" si="11"/>
        <v>6139563.3518613987</v>
      </c>
      <c r="AQ43" s="3">
        <f t="shared" ca="1" si="11"/>
        <v>6427576.6164883571</v>
      </c>
      <c r="AR43" s="3">
        <f t="shared" ca="1" si="11"/>
        <v>6732716.0410465579</v>
      </c>
      <c r="AS43" s="3">
        <f t="shared" ca="1" si="11"/>
        <v>7056000.0000000028</v>
      </c>
      <c r="AT43" s="3">
        <f t="shared" ca="1" si="11"/>
        <v>7475571.5937991915</v>
      </c>
      <c r="AU43" s="3">
        <f t="shared" ca="1" si="11"/>
        <v>7920092.2128709406</v>
      </c>
      <c r="AV43" s="3">
        <f t="shared" ca="1" si="11"/>
        <v>8391045.4034592062</v>
      </c>
      <c r="AW43" s="3">
        <f t="shared" ca="1" si="11"/>
        <v>8890002.9280582312</v>
      </c>
      <c r="AX43" s="3">
        <f t="shared" ca="1" si="11"/>
        <v>9418630.011023771</v>
      </c>
      <c r="AY43" s="3">
        <f t="shared" ca="1" si="11"/>
        <v>9978690.8961045668</v>
      </c>
      <c r="AZ43" s="3">
        <f t="shared" ca="1" si="11"/>
        <v>10572054.734441875</v>
      </c>
      <c r="BA43" s="3">
        <f t="shared" ca="1" si="11"/>
        <v>11200701.822687626</v>
      </c>
      <c r="BB43" s="3">
        <f t="shared" ca="1" si="11"/>
        <v>11866730.212060431</v>
      </c>
      <c r="BC43" s="3">
        <f t="shared" ca="1" si="11"/>
        <v>12572362.71039648</v>
      </c>
      <c r="BD43" s="3">
        <f t="shared" ca="1" si="11"/>
        <v>13319954.300564071</v>
      </c>
      <c r="BE43" s="3">
        <f t="shared" ca="1" si="11"/>
        <v>14112000.000000015</v>
      </c>
      <c r="BF43" s="3">
        <f t="shared" ca="1" si="11"/>
        <v>14951143.187598392</v>
      </c>
      <c r="BG43" s="3">
        <f t="shared" ca="1" si="11"/>
        <v>15840184.425741892</v>
      </c>
      <c r="BH43" s="3">
        <f t="shared" ca="1" si="11"/>
        <v>16782090.80691842</v>
      </c>
      <c r="BI43" s="3">
        <f t="shared" ca="1" si="11"/>
        <v>17780005.856116474</v>
      </c>
      <c r="BJ43" s="3">
        <f t="shared" ca="1" si="11"/>
        <v>18837260.022047549</v>
      </c>
      <c r="BK43" s="3">
        <f t="shared" ca="1" si="11"/>
        <v>19957381.792209141</v>
      </c>
      <c r="BL43" s="3">
        <f t="shared" ca="1" si="11"/>
        <v>21144109.46888376</v>
      </c>
      <c r="BM43" s="3">
        <f t="shared" ca="1" si="11"/>
        <v>22401403.645375267</v>
      </c>
      <c r="BN43" s="3">
        <f t="shared" ca="1" si="11"/>
        <v>23733460.424120873</v>
      </c>
      <c r="BO43" s="3">
        <f t="shared" ca="1" si="11"/>
        <v>25144725.420792975</v>
      </c>
      <c r="BP43" s="3">
        <f t="shared" ca="1" si="11"/>
        <v>26639908.601128161</v>
      </c>
      <c r="BQ43" s="3">
        <f t="shared" ca="1" si="11"/>
        <v>28224000.000000045</v>
      </c>
    </row>
    <row r="46" spans="1:69">
      <c r="B46" s="25" t="s">
        <v>271</v>
      </c>
    </row>
  </sheetData>
  <conditionalFormatting sqref="F3">
    <cfRule type="cellIs" dxfId="302" priority="13" stopIfTrue="1" operator="notEqual">
      <formula>0</formula>
    </cfRule>
    <cfRule type="cellIs" dxfId="301" priority="14" stopIfTrue="1" operator="equal">
      <formula>""</formula>
    </cfRule>
  </conditionalFormatting>
  <conditionalFormatting sqref="J3:BQ3">
    <cfRule type="cellIs" dxfId="300" priority="11" stopIfTrue="1" operator="equal">
      <formula>"Construction"</formula>
    </cfRule>
    <cfRule type="cellIs" dxfId="299" priority="12" stopIfTrue="1" operator="equal">
      <formula>"Operations"</formula>
    </cfRule>
  </conditionalFormatting>
  <conditionalFormatting sqref="J3:BQ3">
    <cfRule type="cellIs" dxfId="298" priority="10" operator="equal">
      <formula>"Fin Close"</formula>
    </cfRule>
  </conditionalFormatting>
  <conditionalFormatting sqref="J3:BQ3">
    <cfRule type="cellIs" dxfId="297" priority="8" operator="equal">
      <formula>"PPA ext."</formula>
    </cfRule>
    <cfRule type="cellIs" dxfId="296" priority="9" operator="equal">
      <formula>"Delay"</formula>
    </cfRule>
  </conditionalFormatting>
  <conditionalFormatting sqref="F2">
    <cfRule type="cellIs" dxfId="295" priority="1" stopIfTrue="1" operator="notEqual">
      <formula>0</formula>
    </cfRule>
    <cfRule type="cellIs" dxfId="294"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Income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151</v>
      </c>
    </row>
    <row r="9" spans="1:69" outlineLevel="1">
      <c r="A9" s="18"/>
      <c r="B9" s="18"/>
      <c r="C9" s="28"/>
      <c r="D9" s="27"/>
      <c r="E9" s="4" t="str">
        <f xml:space="preserve">  InpC!E$22</f>
        <v>Invoice Term</v>
      </c>
      <c r="F9" s="4">
        <f xml:space="preserve">  InpC!F$22</f>
        <v>12</v>
      </c>
      <c r="G9" s="4" t="str">
        <f xml:space="preserve">  InpC!G$22</f>
        <v>Months</v>
      </c>
      <c r="M9" s="2"/>
    </row>
    <row r="10" spans="1:69" outlineLevel="1">
      <c r="A10" s="18"/>
      <c r="B10" s="18"/>
      <c r="C10" s="28"/>
      <c r="D10" s="27"/>
      <c r="E10" s="4" t="str">
        <f xml:space="preserve">  InpC!E$20</f>
        <v>Sales Price Unit</v>
      </c>
      <c r="F10" s="4">
        <f xml:space="preserve">  InpC!F$20</f>
        <v>12</v>
      </c>
      <c r="G10" s="4" t="str">
        <f xml:space="preserve">  InpC!G$20</f>
        <v>GBP</v>
      </c>
      <c r="M10" s="2"/>
    </row>
    <row r="11" spans="1:69" outlineLevel="1">
      <c r="A11" s="18"/>
      <c r="B11" s="18"/>
      <c r="C11" s="28"/>
      <c r="D11" s="27"/>
      <c r="E11" s="4" t="str">
        <f xml:space="preserve">  Customers!E$29</f>
        <v>Customer orders fullfilled</v>
      </c>
      <c r="F11" s="4">
        <f xml:space="preserve">  Customers!F$29</f>
        <v>0</v>
      </c>
      <c r="G11" s="4" t="str">
        <f xml:space="preserve">  Customers!G$29</f>
        <v>Units</v>
      </c>
      <c r="H11" s="4">
        <f ca="1" xml:space="preserve">  Customers!H$29</f>
        <v>1066000</v>
      </c>
      <c r="I11" s="4">
        <f xml:space="preserve">  Customers!I$29</f>
        <v>0</v>
      </c>
      <c r="J11" s="4">
        <f xml:space="preserve">  Customers!J$29</f>
        <v>0</v>
      </c>
      <c r="K11" s="4">
        <f ca="1" xml:space="preserve">  Customers!K$29</f>
        <v>1000</v>
      </c>
      <c r="L11" s="4">
        <f ca="1" xml:space="preserve">  Customers!L$29</f>
        <v>1000</v>
      </c>
      <c r="M11" s="4">
        <f ca="1" xml:space="preserve">  Customers!M$29</f>
        <v>1000</v>
      </c>
      <c r="N11" s="4">
        <f ca="1" xml:space="preserve">  Customers!N$29</f>
        <v>1000</v>
      </c>
      <c r="O11" s="4">
        <f ca="1" xml:space="preserve">  Customers!O$29</f>
        <v>2000</v>
      </c>
      <c r="P11" s="4">
        <f ca="1" xml:space="preserve">  Customers!P$29</f>
        <v>4000</v>
      </c>
      <c r="Q11" s="4">
        <f ca="1" xml:space="preserve">  Customers!Q$29</f>
        <v>3000</v>
      </c>
      <c r="R11" s="4">
        <f ca="1" xml:space="preserve">  Customers!R$29</f>
        <v>3000</v>
      </c>
      <c r="S11" s="4">
        <f ca="1" xml:space="preserve">  Customers!S$29</f>
        <v>0</v>
      </c>
      <c r="T11" s="4">
        <f ca="1" xml:space="preserve">  Customers!T$29</f>
        <v>10000</v>
      </c>
      <c r="U11" s="4">
        <f ca="1" xml:space="preserve">  Customers!U$29</f>
        <v>0</v>
      </c>
      <c r="V11" s="4">
        <f ca="1" xml:space="preserve">  Customers!V$29</f>
        <v>10000</v>
      </c>
      <c r="W11" s="4">
        <f ca="1" xml:space="preserve">  Customers!W$29</f>
        <v>7297.3154717964753</v>
      </c>
      <c r="X11" s="4">
        <f ca="1" xml:space="preserve">  Customers!X$29</f>
        <v>2702.6845282035247</v>
      </c>
      <c r="Y11" s="4">
        <f ca="1" xml:space="preserve">  Customers!Y$29</f>
        <v>8855.6612883569433</v>
      </c>
      <c r="Z11" s="4">
        <f ca="1" xml:space="preserve">  Customers!Z$29</f>
        <v>1144.3387116430567</v>
      </c>
      <c r="AA11" s="4">
        <f ca="1" xml:space="preserve">  Customers!AA$29</f>
        <v>0</v>
      </c>
      <c r="AB11" s="4">
        <f ca="1" xml:space="preserve">  Customers!AB$29</f>
        <v>0</v>
      </c>
      <c r="AC11" s="4">
        <f ca="1" xml:space="preserve">  Customers!AC$29</f>
        <v>0</v>
      </c>
      <c r="AD11" s="4">
        <f ca="1" xml:space="preserve">  Customers!AD$29</f>
        <v>0</v>
      </c>
      <c r="AE11" s="4">
        <f ca="1" xml:space="preserve">  Customers!AE$29</f>
        <v>0</v>
      </c>
      <c r="AF11" s="4">
        <f ca="1" xml:space="preserve">  Customers!AF$29</f>
        <v>5000</v>
      </c>
      <c r="AG11" s="4">
        <f ca="1" xml:space="preserve">  Customers!AG$29</f>
        <v>5000</v>
      </c>
      <c r="AH11" s="4">
        <f ca="1" xml:space="preserve">  Customers!AH$29</f>
        <v>5000</v>
      </c>
      <c r="AI11" s="4">
        <f ca="1" xml:space="preserve">  Customers!AI$29</f>
        <v>10000</v>
      </c>
      <c r="AJ11" s="4">
        <f ca="1" xml:space="preserve">  Customers!AJ$29</f>
        <v>10000</v>
      </c>
      <c r="AK11" s="4">
        <f ca="1" xml:space="preserve">  Customers!AK$29</f>
        <v>5000</v>
      </c>
      <c r="AL11" s="4">
        <f ca="1" xml:space="preserve">  Customers!AL$29</f>
        <v>10000</v>
      </c>
      <c r="AM11" s="4">
        <f ca="1" xml:space="preserve">  Customers!AM$29</f>
        <v>10000</v>
      </c>
      <c r="AN11" s="4">
        <f ca="1" xml:space="preserve">  Customers!AN$29</f>
        <v>10000</v>
      </c>
      <c r="AO11" s="4">
        <f ca="1" xml:space="preserve">  Customers!AO$29</f>
        <v>10000</v>
      </c>
      <c r="AP11" s="4">
        <f ca="1" xml:space="preserve">  Customers!AP$29</f>
        <v>15000</v>
      </c>
      <c r="AQ11" s="4">
        <f ca="1" xml:space="preserve">  Customers!AQ$29</f>
        <v>10000</v>
      </c>
      <c r="AR11" s="4">
        <f ca="1" xml:space="preserve">  Customers!AR$29</f>
        <v>15000</v>
      </c>
      <c r="AS11" s="4">
        <f ca="1" xml:space="preserve">  Customers!AS$29</f>
        <v>15000</v>
      </c>
      <c r="AT11" s="4">
        <f ca="1" xml:space="preserve">  Customers!AT$29</f>
        <v>15000</v>
      </c>
      <c r="AU11" s="4">
        <f ca="1" xml:space="preserve">  Customers!AU$29</f>
        <v>20000</v>
      </c>
      <c r="AV11" s="4">
        <f ca="1" xml:space="preserve">  Customers!AV$29</f>
        <v>20000</v>
      </c>
      <c r="AW11" s="4">
        <f ca="1" xml:space="preserve">  Customers!AW$29</f>
        <v>20000</v>
      </c>
      <c r="AX11" s="4">
        <f ca="1" xml:space="preserve">  Customers!AX$29</f>
        <v>25000</v>
      </c>
      <c r="AY11" s="4">
        <f ca="1" xml:space="preserve">  Customers!AY$29</f>
        <v>20000</v>
      </c>
      <c r="AZ11" s="4">
        <f ca="1" xml:space="preserve">  Customers!AZ$29</f>
        <v>25000</v>
      </c>
      <c r="BA11" s="4">
        <f ca="1" xml:space="preserve">  Customers!BA$29</f>
        <v>30000</v>
      </c>
      <c r="BB11" s="4">
        <f ca="1" xml:space="preserve">  Customers!BB$29</f>
        <v>25000</v>
      </c>
      <c r="BC11" s="4">
        <f ca="1" xml:space="preserve">  Customers!BC$29</f>
        <v>30000</v>
      </c>
      <c r="BD11" s="4">
        <f ca="1" xml:space="preserve">  Customers!BD$29</f>
        <v>30000.000000000004</v>
      </c>
      <c r="BE11" s="4">
        <f ca="1" xml:space="preserve">  Customers!BE$29</f>
        <v>35000</v>
      </c>
      <c r="BF11" s="4">
        <f ca="1" xml:space="preserve">  Customers!BF$29</f>
        <v>35000</v>
      </c>
      <c r="BG11" s="4">
        <f ca="1" xml:space="preserve">  Customers!BG$29</f>
        <v>35000</v>
      </c>
      <c r="BH11" s="4">
        <f ca="1" xml:space="preserve">  Customers!BH$29</f>
        <v>40000</v>
      </c>
      <c r="BI11" s="4">
        <f ca="1" xml:space="preserve">  Customers!BI$29</f>
        <v>40000</v>
      </c>
      <c r="BJ11" s="4">
        <f ca="1" xml:space="preserve">  Customers!BJ$29</f>
        <v>45000</v>
      </c>
      <c r="BK11" s="4">
        <f ca="1" xml:space="preserve">  Customers!BK$29</f>
        <v>45000</v>
      </c>
      <c r="BL11" s="4">
        <f ca="1" xml:space="preserve">  Customers!BL$29</f>
        <v>49999.999999999993</v>
      </c>
      <c r="BM11" s="4">
        <f ca="1" xml:space="preserve">  Customers!BM$29</f>
        <v>50000.000000000007</v>
      </c>
      <c r="BN11" s="4">
        <f ca="1" xml:space="preserve">  Customers!BN$29</f>
        <v>54999.999999999985</v>
      </c>
      <c r="BO11" s="4">
        <f ca="1" xml:space="preserve">  Customers!BO$29</f>
        <v>60000</v>
      </c>
      <c r="BP11" s="4">
        <f ca="1" xml:space="preserve">  Customers!BP$29</f>
        <v>60000</v>
      </c>
      <c r="BQ11" s="4">
        <f ca="1" xml:space="preserve">  Customers!BQ$29</f>
        <v>65000</v>
      </c>
    </row>
    <row r="12" spans="1:69" outlineLevel="1">
      <c r="A12" s="34"/>
      <c r="B12" s="34"/>
      <c r="C12" s="64"/>
      <c r="D12" s="65"/>
      <c r="E12" s="21" t="s">
        <v>151</v>
      </c>
      <c r="F12" s="21"/>
      <c r="G12" s="21" t="s">
        <v>258</v>
      </c>
      <c r="H12" s="3">
        <f ca="1" xml:space="preserve"> SUM( J12:BQ12 )</f>
        <v>223488000</v>
      </c>
      <c r="I12" s="21"/>
      <c r="J12" s="3">
        <f ca="1" xml:space="preserve">  ( J11 * $F9 * $F10 ) + ( IF( Time!J28 &lt; 1 + $F9, 0, OFFSET( J11, 0, - 1 * ( $F9 ) ) ) * $F9 * $F10 )</f>
        <v>0</v>
      </c>
      <c r="K12" s="3">
        <f ca="1" xml:space="preserve">  ( K11 * $F9 * $F10 ) + ( IF( Time!K28 &lt; 1 + $F9, 0, OFFSET( K11, 0, - 1 * ( $F9 ) ) ) * $F9 * $F10 )</f>
        <v>144000</v>
      </c>
      <c r="L12" s="3">
        <f ca="1" xml:space="preserve">  ( L11 * $F9 * $F10 ) + ( IF( Time!L28 &lt; 1 + $F9, 0, OFFSET( L11, 0, - 1 * ( $F9 ) ) ) * $F9 * $F10 )</f>
        <v>144000</v>
      </c>
      <c r="M12" s="3">
        <f ca="1" xml:space="preserve">  ( M11 * $F9 * $F10 ) + ( IF( Time!M28 &lt; 1 + $F9, 0, OFFSET( M11, 0, - 1 * ( $F9 ) ) ) * $F9 * $F10 )</f>
        <v>144000</v>
      </c>
      <c r="N12" s="3">
        <f ca="1" xml:space="preserve">  ( N11 * $F9 * $F10 ) + ( IF( Time!N28 &lt; 1 + $F9, 0, OFFSET( N11, 0, - 1 * ( $F9 ) ) ) * $F9 * $F10 )</f>
        <v>144000</v>
      </c>
      <c r="O12" s="3">
        <f ca="1" xml:space="preserve">  ( O11 * $F9 * $F10 ) + ( IF( Time!O28 &lt; 1 + $F9, 0, OFFSET( O11, 0, - 1 * ( $F9 ) ) ) * $F9 * $F10 )</f>
        <v>288000</v>
      </c>
      <c r="P12" s="3">
        <f ca="1" xml:space="preserve">  ( P11 * $F9 * $F10 ) + ( IF( Time!P28 &lt; 1 + $F9, 0, OFFSET( P11, 0, - 1 * ( $F9 ) ) ) * $F9 * $F10 )</f>
        <v>576000</v>
      </c>
      <c r="Q12" s="3">
        <f ca="1" xml:space="preserve">  ( Q11 * $F9 * $F10 ) + ( IF( Time!Q28 &lt; 1 + $F9, 0, OFFSET( Q11, 0, - 1 * ( $F9 ) ) ) * $F9 * $F10 )</f>
        <v>432000</v>
      </c>
      <c r="R12" s="3">
        <f ca="1" xml:space="preserve">  ( R11 * $F9 * $F10 ) + ( IF( Time!R28 &lt; 1 + $F9, 0, OFFSET( R11, 0, - 1 * ( $F9 ) ) ) * $F9 * $F10 )</f>
        <v>432000</v>
      </c>
      <c r="S12" s="3">
        <f ca="1" xml:space="preserve">  ( S11 * $F9 * $F10 ) + ( IF( Time!S28 &lt; 1 + $F9, 0, OFFSET( S11, 0, - 1 * ( $F9 ) ) ) * $F9 * $F10 )</f>
        <v>0</v>
      </c>
      <c r="T12" s="3">
        <f ca="1" xml:space="preserve">  ( T11 * $F9 * $F10 ) + ( IF( Time!T28 &lt; 1 + $F9, 0, OFFSET( T11, 0, - 1 * ( $F9 ) ) ) * $F9 * $F10 )</f>
        <v>1440000</v>
      </c>
      <c r="U12" s="3">
        <f ca="1" xml:space="preserve">  ( U11 * $F9 * $F10 ) + ( IF( Time!U28 &lt; 1 + $F9, 0, OFFSET( U11, 0, - 1 * ( $F9 ) ) ) * $F9 * $F10 )</f>
        <v>0</v>
      </c>
      <c r="V12" s="3">
        <f ca="1" xml:space="preserve">  ( V11 * $F9 * $F10 ) + ( IF( Time!V28 &lt; 1 + $F9, 0, OFFSET( V11, 0, - 1 * ( $F9 ) ) ) * $F9 * $F10 )</f>
        <v>1440000</v>
      </c>
      <c r="W12" s="3">
        <f ca="1" xml:space="preserve">  ( W11 * $F9 * $F10 ) + ( IF( Time!W28 &lt; 1 + $F9, 0, OFFSET( W11, 0, - 1 * ( $F9 ) ) ) * $F9 * $F10 )</f>
        <v>1194813.4279386925</v>
      </c>
      <c r="X12" s="3">
        <f ca="1" xml:space="preserve">  ( X11 * $F9 * $F10 ) + ( IF( Time!X28 &lt; 1 + $F9, 0, OFFSET( X11, 0, - 1 * ( $F9 ) ) ) * $F9 * $F10 )</f>
        <v>533186.5720613075</v>
      </c>
      <c r="Y12" s="3">
        <f ca="1" xml:space="preserve">  ( Y11 * $F9 * $F10 ) + ( IF( Time!Y28 &lt; 1 + $F9, 0, OFFSET( Y11, 0, - 1 * ( $F9 ) ) ) * $F9 * $F10 )</f>
        <v>1419215.2255233999</v>
      </c>
      <c r="Z12" s="3">
        <f ca="1" xml:space="preserve">  ( Z11 * $F9 * $F10 ) + ( IF( Time!Z28 &lt; 1 + $F9, 0, OFFSET( Z11, 0, - 1 * ( $F9 ) ) ) * $F9 * $F10 )</f>
        <v>308784.77447660017</v>
      </c>
      <c r="AA12" s="3">
        <f ca="1" xml:space="preserve">  ( AA11 * $F9 * $F10 ) + ( IF( Time!AA28 &lt; 1 + $F9, 0, OFFSET( AA11, 0, - 1 * ( $F9 ) ) ) * $F9 * $F10 )</f>
        <v>288000</v>
      </c>
      <c r="AB12" s="3">
        <f ca="1" xml:space="preserve">  ( AB11 * $F9 * $F10 ) + ( IF( Time!AB28 &lt; 1 + $F9, 0, OFFSET( AB11, 0, - 1 * ( $F9 ) ) ) * $F9 * $F10 )</f>
        <v>576000</v>
      </c>
      <c r="AC12" s="3">
        <f ca="1" xml:space="preserve">  ( AC11 * $F9 * $F10 ) + ( IF( Time!AC28 &lt; 1 + $F9, 0, OFFSET( AC11, 0, - 1 * ( $F9 ) ) ) * $F9 * $F10 )</f>
        <v>432000</v>
      </c>
      <c r="AD12" s="3">
        <f ca="1" xml:space="preserve">  ( AD11 * $F9 * $F10 ) + ( IF( Time!AD28 &lt; 1 + $F9, 0, OFFSET( AD11, 0, - 1 * ( $F9 ) ) ) * $F9 * $F10 )</f>
        <v>432000</v>
      </c>
      <c r="AE12" s="3">
        <f ca="1" xml:space="preserve">  ( AE11 * $F9 * $F10 ) + ( IF( Time!AE28 &lt; 1 + $F9, 0, OFFSET( AE11, 0, - 1 * ( $F9 ) ) ) * $F9 * $F10 )</f>
        <v>0</v>
      </c>
      <c r="AF12" s="3">
        <f ca="1" xml:space="preserve">  ( AF11 * $F9 * $F10 ) + ( IF( Time!AF28 &lt; 1 + $F9, 0, OFFSET( AF11, 0, - 1 * ( $F9 ) ) ) * $F9 * $F10 )</f>
        <v>2160000</v>
      </c>
      <c r="AG12" s="3">
        <f ca="1" xml:space="preserve">  ( AG11 * $F9 * $F10 ) + ( IF( Time!AG28 &lt; 1 + $F9, 0, OFFSET( AG11, 0, - 1 * ( $F9 ) ) ) * $F9 * $F10 )</f>
        <v>720000</v>
      </c>
      <c r="AH12" s="3">
        <f ca="1" xml:space="preserve">  ( AH11 * $F9 * $F10 ) + ( IF( Time!AH28 &lt; 1 + $F9, 0, OFFSET( AH11, 0, - 1 * ( $F9 ) ) ) * $F9 * $F10 )</f>
        <v>2160000</v>
      </c>
      <c r="AI12" s="3">
        <f ca="1" xml:space="preserve">  ( AI11 * $F9 * $F10 ) + ( IF( Time!AI28 &lt; 1 + $F9, 0, OFFSET( AI11, 0, - 1 * ( $F9 ) ) ) * $F9 * $F10 )</f>
        <v>2490813.4279386923</v>
      </c>
      <c r="AJ12" s="3">
        <f ca="1" xml:space="preserve">  ( AJ11 * $F9 * $F10 ) + ( IF( Time!AJ28 &lt; 1 + $F9, 0, OFFSET( AJ11, 0, - 1 * ( $F9 ) ) ) * $F9 * $F10 )</f>
        <v>1829186.5720613075</v>
      </c>
      <c r="AK12" s="3">
        <f ca="1" xml:space="preserve">  ( AK11 * $F9 * $F10 ) + ( IF( Time!AK28 &lt; 1 + $F9, 0, OFFSET( AK11, 0, - 1 * ( $F9 ) ) ) * $F9 * $F10 )</f>
        <v>1995215.2255233999</v>
      </c>
      <c r="AL12" s="3">
        <f ca="1" xml:space="preserve">  ( AL11 * $F9 * $F10 ) + ( IF( Time!AL28 &lt; 1 + $F9, 0, OFFSET( AL11, 0, - 1 * ( $F9 ) ) ) * $F9 * $F10 )</f>
        <v>1604784.7744766001</v>
      </c>
      <c r="AM12" s="3">
        <f ca="1" xml:space="preserve">  ( AM11 * $F9 * $F10 ) + ( IF( Time!AM28 &lt; 1 + $F9, 0, OFFSET( AM11, 0, - 1 * ( $F9 ) ) ) * $F9 * $F10 )</f>
        <v>1440000</v>
      </c>
      <c r="AN12" s="3">
        <f ca="1" xml:space="preserve">  ( AN11 * $F9 * $F10 ) + ( IF( Time!AN28 &lt; 1 + $F9, 0, OFFSET( AN11, 0, - 1 * ( $F9 ) ) ) * $F9 * $F10 )</f>
        <v>1440000</v>
      </c>
      <c r="AO12" s="3">
        <f ca="1" xml:space="preserve">  ( AO11 * $F9 * $F10 ) + ( IF( Time!AO28 &lt; 1 + $F9, 0, OFFSET( AO11, 0, - 1 * ( $F9 ) ) ) * $F9 * $F10 )</f>
        <v>1440000</v>
      </c>
      <c r="AP12" s="3">
        <f ca="1" xml:space="preserve">  ( AP11 * $F9 * $F10 ) + ( IF( Time!AP28 &lt; 1 + $F9, 0, OFFSET( AP11, 0, - 1 * ( $F9 ) ) ) * $F9 * $F10 )</f>
        <v>2160000</v>
      </c>
      <c r="AQ12" s="3">
        <f ca="1" xml:space="preserve">  ( AQ11 * $F9 * $F10 ) + ( IF( Time!AQ28 &lt; 1 + $F9, 0, OFFSET( AQ11, 0, - 1 * ( $F9 ) ) ) * $F9 * $F10 )</f>
        <v>1440000</v>
      </c>
      <c r="AR12" s="3">
        <f ca="1" xml:space="preserve">  ( AR11 * $F9 * $F10 ) + ( IF( Time!AR28 &lt; 1 + $F9, 0, OFFSET( AR11, 0, - 1 * ( $F9 ) ) ) * $F9 * $F10 )</f>
        <v>2880000</v>
      </c>
      <c r="AS12" s="3">
        <f ca="1" xml:space="preserve">  ( AS11 * $F9 * $F10 ) + ( IF( Time!AS28 &lt; 1 + $F9, 0, OFFSET( AS11, 0, - 1 * ( $F9 ) ) ) * $F9 * $F10 )</f>
        <v>2880000</v>
      </c>
      <c r="AT12" s="3">
        <f ca="1" xml:space="preserve">  ( AT11 * $F9 * $F10 ) + ( IF( Time!AT28 &lt; 1 + $F9, 0, OFFSET( AT11, 0, - 1 * ( $F9 ) ) ) * $F9 * $F10 )</f>
        <v>2880000</v>
      </c>
      <c r="AU12" s="3">
        <f ca="1" xml:space="preserve">  ( AU11 * $F9 * $F10 ) + ( IF( Time!AU28 &lt; 1 + $F9, 0, OFFSET( AU11, 0, - 1 * ( $F9 ) ) ) * $F9 * $F10 )</f>
        <v>4320000</v>
      </c>
      <c r="AV12" s="3">
        <f ca="1" xml:space="preserve">  ( AV11 * $F9 * $F10 ) + ( IF( Time!AV28 &lt; 1 + $F9, 0, OFFSET( AV11, 0, - 1 * ( $F9 ) ) ) * $F9 * $F10 )</f>
        <v>4320000</v>
      </c>
      <c r="AW12" s="3">
        <f ca="1" xml:space="preserve">  ( AW11 * $F9 * $F10 ) + ( IF( Time!AW28 &lt; 1 + $F9, 0, OFFSET( AW11, 0, - 1 * ( $F9 ) ) ) * $F9 * $F10 )</f>
        <v>3600000</v>
      </c>
      <c r="AX12" s="3">
        <f ca="1" xml:space="preserve">  ( AX11 * $F9 * $F10 ) + ( IF( Time!AX28 &lt; 1 + $F9, 0, OFFSET( AX11, 0, - 1 * ( $F9 ) ) ) * $F9 * $F10 )</f>
        <v>5040000</v>
      </c>
      <c r="AY12" s="3">
        <f ca="1" xml:space="preserve">  ( AY11 * $F9 * $F10 ) + ( IF( Time!AY28 &lt; 1 + $F9, 0, OFFSET( AY11, 0, - 1 * ( $F9 ) ) ) * $F9 * $F10 )</f>
        <v>4320000</v>
      </c>
      <c r="AZ12" s="3">
        <f ca="1" xml:space="preserve">  ( AZ11 * $F9 * $F10 ) + ( IF( Time!AZ28 &lt; 1 + $F9, 0, OFFSET( AZ11, 0, - 1 * ( $F9 ) ) ) * $F9 * $F10 )</f>
        <v>5040000</v>
      </c>
      <c r="BA12" s="3">
        <f ca="1" xml:space="preserve">  ( BA11 * $F9 * $F10 ) + ( IF( Time!BA28 &lt; 1 + $F9, 0, OFFSET( BA11, 0, - 1 * ( $F9 ) ) ) * $F9 * $F10 )</f>
        <v>5760000</v>
      </c>
      <c r="BB12" s="3">
        <f ca="1" xml:space="preserve">  ( BB11 * $F9 * $F10 ) + ( IF( Time!BB28 &lt; 1 + $F9, 0, OFFSET( BB11, 0, - 1 * ( $F9 ) ) ) * $F9 * $F10 )</f>
        <v>5760000</v>
      </c>
      <c r="BC12" s="3">
        <f ca="1" xml:space="preserve">  ( BC11 * $F9 * $F10 ) + ( IF( Time!BC28 &lt; 1 + $F9, 0, OFFSET( BC11, 0, - 1 * ( $F9 ) ) ) * $F9 * $F10 )</f>
        <v>5760000</v>
      </c>
      <c r="BD12" s="3">
        <f ca="1" xml:space="preserve">  ( BD11 * $F9 * $F10 ) + ( IF( Time!BD28 &lt; 1 + $F9, 0, OFFSET( BD11, 0, - 1 * ( $F9 ) ) ) * $F9 * $F10 )</f>
        <v>6480000.0000000009</v>
      </c>
      <c r="BE12" s="3">
        <f ca="1" xml:space="preserve">  ( BE11 * $F9 * $F10 ) + ( IF( Time!BE28 &lt; 1 + $F9, 0, OFFSET( BE11, 0, - 1 * ( $F9 ) ) ) * $F9 * $F10 )</f>
        <v>7200000</v>
      </c>
      <c r="BF12" s="3">
        <f ca="1" xml:space="preserve">  ( BF11 * $F9 * $F10 ) + ( IF( Time!BF28 &lt; 1 + $F9, 0, OFFSET( BF11, 0, - 1 * ( $F9 ) ) ) * $F9 * $F10 )</f>
        <v>7200000</v>
      </c>
      <c r="BG12" s="3">
        <f ca="1" xml:space="preserve">  ( BG11 * $F9 * $F10 ) + ( IF( Time!BG28 &lt; 1 + $F9, 0, OFFSET( BG11, 0, - 1 * ( $F9 ) ) ) * $F9 * $F10 )</f>
        <v>7920000</v>
      </c>
      <c r="BH12" s="3">
        <f ca="1" xml:space="preserve">  ( BH11 * $F9 * $F10 ) + ( IF( Time!BH28 &lt; 1 + $F9, 0, OFFSET( BH11, 0, - 1 * ( $F9 ) ) ) * $F9 * $F10 )</f>
        <v>8640000</v>
      </c>
      <c r="BI12" s="3">
        <f ca="1" xml:space="preserve">  ( BI11 * $F9 * $F10 ) + ( IF( Time!BI28 &lt; 1 + $F9, 0, OFFSET( BI11, 0, - 1 * ( $F9 ) ) ) * $F9 * $F10 )</f>
        <v>8640000</v>
      </c>
      <c r="BJ12" s="3">
        <f ca="1" xml:space="preserve">  ( BJ11 * $F9 * $F10 ) + ( IF( Time!BJ28 &lt; 1 + $F9, 0, OFFSET( BJ11, 0, - 1 * ( $F9 ) ) ) * $F9 * $F10 )</f>
        <v>10080000</v>
      </c>
      <c r="BK12" s="3">
        <f ca="1" xml:space="preserve">  ( BK11 * $F9 * $F10 ) + ( IF( Time!BK28 &lt; 1 + $F9, 0, OFFSET( BK11, 0, - 1 * ( $F9 ) ) ) * $F9 * $F10 )</f>
        <v>9360000</v>
      </c>
      <c r="BL12" s="3">
        <f ca="1" xml:space="preserve">  ( BL11 * $F9 * $F10 ) + ( IF( Time!BL28 &lt; 1 + $F9, 0, OFFSET( BL11, 0, - 1 * ( $F9 ) ) ) * $F9 * $F10 )</f>
        <v>10799999.999999998</v>
      </c>
      <c r="BM12" s="3">
        <f ca="1" xml:space="preserve">  ( BM11 * $F9 * $F10 ) + ( IF( Time!BM28 &lt; 1 + $F9, 0, OFFSET( BM11, 0, - 1 * ( $F9 ) ) ) * $F9 * $F10 )</f>
        <v>11520000.000000002</v>
      </c>
      <c r="BN12" s="3">
        <f ca="1" xml:space="preserve">  ( BN11 * $F9 * $F10 ) + ( IF( Time!BN28 &lt; 1 + $F9, 0, OFFSET( BN11, 0, - 1 * ( $F9 ) ) ) * $F9 * $F10 )</f>
        <v>11519999.999999996</v>
      </c>
      <c r="BO12" s="3">
        <f ca="1" xml:space="preserve">  ( BO11 * $F9 * $F10 ) + ( IF( Time!BO28 &lt; 1 + $F9, 0, OFFSET( BO11, 0, - 1 * ( $F9 ) ) ) * $F9 * $F10 )</f>
        <v>12960000</v>
      </c>
      <c r="BP12" s="3">
        <f ca="1" xml:space="preserve">  ( BP11 * $F9 * $F10 ) + ( IF( Time!BP28 &lt; 1 + $F9, 0, OFFSET( BP11, 0, - 1 * ( $F9 ) ) ) * $F9 * $F10 )</f>
        <v>12960000</v>
      </c>
      <c r="BQ12" s="3">
        <f ca="1" xml:space="preserve">  ( BQ11 * $F9 * $F10 ) + ( IF( Time!BQ28 &lt; 1 + $F9, 0, OFFSET( BQ11, 0, - 1 * ( $F9 ) ) ) * $F9 * $F10 )</f>
        <v>14400000</v>
      </c>
    </row>
    <row r="15" spans="1:69">
      <c r="B15" s="25" t="s">
        <v>173</v>
      </c>
    </row>
    <row r="16" spans="1:69" outlineLevel="1">
      <c r="A16" s="18"/>
      <c r="B16" s="18"/>
      <c r="C16" s="28"/>
      <c r="D16" s="27"/>
      <c r="E16" s="4" t="str">
        <f xml:space="preserve">  InpC!E$20</f>
        <v>Sales Price Unit</v>
      </c>
      <c r="F16" s="4">
        <f xml:space="preserve">  InpC!F$20</f>
        <v>12</v>
      </c>
      <c r="G16" s="4" t="str">
        <f xml:space="preserve">  InpC!G$20</f>
        <v>GBP</v>
      </c>
      <c r="M16" s="2"/>
    </row>
    <row r="17" spans="1:69" outlineLevel="1">
      <c r="A17" s="18"/>
      <c r="B17" s="18"/>
      <c r="C17" s="28"/>
      <c r="D17" s="27"/>
      <c r="E17" s="4" t="str">
        <f xml:space="preserve">  Inventory!E$73</f>
        <v>Units in use</v>
      </c>
      <c r="F17" s="4">
        <f xml:space="preserve">  Inventory!F$73</f>
        <v>0</v>
      </c>
      <c r="G17" s="4" t="str">
        <f xml:space="preserve">  Inventory!G$73</f>
        <v>Units</v>
      </c>
      <c r="H17" s="4">
        <f xml:space="preserve">  Inventory!H$73</f>
        <v>0</v>
      </c>
      <c r="I17" s="4">
        <f xml:space="preserve">  Inventory!I$73</f>
        <v>1500</v>
      </c>
      <c r="J17" s="4">
        <f ca="1" xml:space="preserve">  Inventory!J$73</f>
        <v>1500</v>
      </c>
      <c r="K17" s="4">
        <f ca="1" xml:space="preserve">  Inventory!K$73</f>
        <v>2500</v>
      </c>
      <c r="L17" s="4">
        <f ca="1" xml:space="preserve">  Inventory!L$73</f>
        <v>3500</v>
      </c>
      <c r="M17" s="4">
        <f ca="1" xml:space="preserve">  Inventory!M$73</f>
        <v>4500</v>
      </c>
      <c r="N17" s="4">
        <f ca="1" xml:space="preserve">  Inventory!N$73</f>
        <v>5500</v>
      </c>
      <c r="O17" s="4">
        <f ca="1" xml:space="preserve">  Inventory!O$73</f>
        <v>7500</v>
      </c>
      <c r="P17" s="4">
        <f ca="1" xml:space="preserve">  Inventory!P$73</f>
        <v>11500</v>
      </c>
      <c r="Q17" s="4">
        <f ca="1" xml:space="preserve">  Inventory!Q$73</f>
        <v>14500</v>
      </c>
      <c r="R17" s="4">
        <f ca="1" xml:space="preserve">  Inventory!R$73</f>
        <v>17500</v>
      </c>
      <c r="S17" s="4">
        <f ca="1" xml:space="preserve">  Inventory!S$73</f>
        <v>17500</v>
      </c>
      <c r="T17" s="4">
        <f ca="1" xml:space="preserve">  Inventory!T$73</f>
        <v>27500</v>
      </c>
      <c r="U17" s="4">
        <f ca="1" xml:space="preserve">  Inventory!U$73</f>
        <v>27500</v>
      </c>
      <c r="V17" s="4">
        <f ca="1" xml:space="preserve">  Inventory!V$73</f>
        <v>37500</v>
      </c>
      <c r="W17" s="4">
        <f ca="1" xml:space="preserve">  Inventory!W$73</f>
        <v>44797.315471796479</v>
      </c>
      <c r="X17" s="4">
        <f ca="1" xml:space="preserve">  Inventory!X$73</f>
        <v>47500</v>
      </c>
      <c r="Y17" s="4">
        <f ca="1" xml:space="preserve">  Inventory!Y$73</f>
        <v>56355.661288356947</v>
      </c>
      <c r="Z17" s="4">
        <f ca="1" xml:space="preserve">  Inventory!Z$73</f>
        <v>57500</v>
      </c>
      <c r="AA17" s="4">
        <f ca="1" xml:space="preserve">  Inventory!AA$73</f>
        <v>57500</v>
      </c>
      <c r="AB17" s="4">
        <f ca="1" xml:space="preserve">  Inventory!AB$73</f>
        <v>57500</v>
      </c>
      <c r="AC17" s="4">
        <f ca="1" xml:space="preserve">  Inventory!AC$73</f>
        <v>57500</v>
      </c>
      <c r="AD17" s="4">
        <f ca="1" xml:space="preserve">  Inventory!AD$73</f>
        <v>57500</v>
      </c>
      <c r="AE17" s="4">
        <f ca="1" xml:space="preserve">  Inventory!AE$73</f>
        <v>57500</v>
      </c>
      <c r="AF17" s="4">
        <f ca="1" xml:space="preserve">  Inventory!AF$73</f>
        <v>62500</v>
      </c>
      <c r="AG17" s="4">
        <f ca="1" xml:space="preserve">  Inventory!AG$73</f>
        <v>67500</v>
      </c>
      <c r="AH17" s="4">
        <f ca="1" xml:space="preserve">  Inventory!AH$73</f>
        <v>71500</v>
      </c>
      <c r="AI17" s="4">
        <f ca="1" xml:space="preserve">  Inventory!AI$73</f>
        <v>80500</v>
      </c>
      <c r="AJ17" s="4">
        <f ca="1" xml:space="preserve">  Inventory!AJ$73</f>
        <v>89500</v>
      </c>
      <c r="AK17" s="4">
        <f ca="1" xml:space="preserve">  Inventory!AK$73</f>
        <v>93500</v>
      </c>
      <c r="AL17" s="4">
        <f ca="1" xml:space="preserve">  Inventory!AL$73</f>
        <v>100500</v>
      </c>
      <c r="AM17" s="4">
        <f ca="1" xml:space="preserve">  Inventory!AM$73</f>
        <v>107500</v>
      </c>
      <c r="AN17" s="4">
        <f ca="1" xml:space="preserve">  Inventory!AN$73</f>
        <v>114500</v>
      </c>
      <c r="AO17" s="4">
        <f ca="1" xml:space="preserve">  Inventory!AO$73</f>
        <v>119500</v>
      </c>
      <c r="AP17" s="4">
        <f ca="1" xml:space="preserve">  Inventory!AP$73</f>
        <v>129500</v>
      </c>
      <c r="AQ17" s="4">
        <f ca="1" xml:space="preserve">  Inventory!AQ$73</f>
        <v>134500</v>
      </c>
      <c r="AR17" s="4">
        <f ca="1" xml:space="preserve">  Inventory!AR$73</f>
        <v>144500</v>
      </c>
      <c r="AS17" s="4">
        <f ca="1" xml:space="preserve">  Inventory!AS$73</f>
        <v>154500</v>
      </c>
      <c r="AT17" s="4">
        <f ca="1" xml:space="preserve">  Inventory!AT$73</f>
        <v>164202.68452820354</v>
      </c>
      <c r="AU17" s="4">
        <f ca="1" xml:space="preserve">  Inventory!AU$73</f>
        <v>178590.37428665668</v>
      </c>
      <c r="AV17" s="4">
        <f ca="1" xml:space="preserve">  Inventory!AV$73</f>
        <v>192644.33871164307</v>
      </c>
      <c r="AW17" s="4">
        <f ca="1" xml:space="preserve">  Inventory!AW$73</f>
        <v>206344.73346216869</v>
      </c>
      <c r="AX17" s="4">
        <f ca="1" xml:space="preserve">  Inventory!AX$73</f>
        <v>224670.53419131853</v>
      </c>
      <c r="AY17" s="4">
        <f ca="1" xml:space="preserve">  Inventory!AY$73</f>
        <v>237599.46637945305</v>
      </c>
      <c r="AZ17" s="4">
        <f ca="1" xml:space="preserve">  Inventory!AZ$73</f>
        <v>255107.93099506968</v>
      </c>
      <c r="BA17" s="4">
        <f ca="1" xml:space="preserve">  Inventory!BA$73</f>
        <v>277170.92573522869</v>
      </c>
      <c r="BB17" s="4">
        <f ca="1" xml:space="preserve">  Inventory!BB$73</f>
        <v>293761.96158269153</v>
      </c>
      <c r="BC17" s="4">
        <f ca="1" xml:space="preserve">  Inventory!BC$73</f>
        <v>314852.97440128814</v>
      </c>
      <c r="BD17" s="4">
        <f ca="1" xml:space="preserve">  Inventory!BD$73</f>
        <v>335414.23127447121</v>
      </c>
      <c r="BE17" s="4">
        <f ca="1" xml:space="preserve">  Inventory!BE$73</f>
        <v>360414.23127447121</v>
      </c>
      <c r="BF17" s="4">
        <f ca="1" xml:space="preserve">  Inventory!BF$73</f>
        <v>383919.60033087828</v>
      </c>
      <c r="BG17" s="4">
        <f ca="1" xml:space="preserve">  Inventory!BG$73</f>
        <v>406794.97984778456</v>
      </c>
      <c r="BH17" s="4">
        <f ca="1" xml:space="preserve">  Inventory!BH$73</f>
        <v>434002.90869775735</v>
      </c>
      <c r="BI17" s="4">
        <f ca="1" xml:space="preserve">  Inventory!BI$73</f>
        <v>460503.69819880859</v>
      </c>
      <c r="BJ17" s="4">
        <f ca="1" xml:space="preserve">  Inventory!BJ$73</f>
        <v>489455.29965710826</v>
      </c>
      <c r="BK17" s="4">
        <f ca="1" xml:space="preserve">  Inventory!BK$73</f>
        <v>517613.16403337731</v>
      </c>
      <c r="BL17" s="4">
        <f ca="1" xml:space="preserve">  Inventory!BL$73</f>
        <v>549930.09326461051</v>
      </c>
      <c r="BM17" s="4">
        <f ca="1" xml:space="preserve">  Inventory!BM$73</f>
        <v>579556.08274492854</v>
      </c>
      <c r="BN17" s="4">
        <f ca="1" xml:space="preserve">  Inventory!BN$73</f>
        <v>613238.1544398542</v>
      </c>
      <c r="BO17" s="4">
        <f ca="1" xml:space="preserve">  Inventory!BO$73</f>
        <v>650920.18007704744</v>
      </c>
      <c r="BP17" s="4">
        <f ca="1" xml:space="preserve">  Inventory!BP$73</f>
        <v>687542.69382341357</v>
      </c>
      <c r="BQ17" s="4">
        <f ca="1" xml:space="preserve">  Inventory!BQ$73</f>
        <v>728042.69382341357</v>
      </c>
    </row>
    <row r="18" spans="1:69" outlineLevel="1">
      <c r="A18" s="34"/>
      <c r="B18" s="34"/>
      <c r="C18" s="64"/>
      <c r="D18" s="65"/>
      <c r="E18" s="21" t="s">
        <v>173</v>
      </c>
      <c r="F18" s="21"/>
      <c r="G18" s="21" t="s">
        <v>258</v>
      </c>
      <c r="H18" s="3">
        <f ca="1" xml:space="preserve"> SUM( J18:BQ18 )</f>
        <v>140213362.95026162</v>
      </c>
      <c r="I18" s="21"/>
      <c r="J18" s="3">
        <f t="shared" ref="J18:BQ18" ca="1" si="0" xml:space="preserve">  $F16 * J17</f>
        <v>18000</v>
      </c>
      <c r="K18" s="3">
        <f t="shared" ca="1" si="0"/>
        <v>30000</v>
      </c>
      <c r="L18" s="3">
        <f t="shared" ca="1" si="0"/>
        <v>42000</v>
      </c>
      <c r="M18" s="3">
        <f t="shared" ca="1" si="0"/>
        <v>54000</v>
      </c>
      <c r="N18" s="3">
        <f t="shared" ca="1" si="0"/>
        <v>66000</v>
      </c>
      <c r="O18" s="3">
        <f t="shared" ca="1" si="0"/>
        <v>90000</v>
      </c>
      <c r="P18" s="3">
        <f t="shared" ca="1" si="0"/>
        <v>138000</v>
      </c>
      <c r="Q18" s="3">
        <f t="shared" ca="1" si="0"/>
        <v>174000</v>
      </c>
      <c r="R18" s="3">
        <f t="shared" ca="1" si="0"/>
        <v>210000</v>
      </c>
      <c r="S18" s="3">
        <f t="shared" ca="1" si="0"/>
        <v>210000</v>
      </c>
      <c r="T18" s="3">
        <f t="shared" ca="1" si="0"/>
        <v>330000</v>
      </c>
      <c r="U18" s="3">
        <f t="shared" ca="1" si="0"/>
        <v>330000</v>
      </c>
      <c r="V18" s="3">
        <f t="shared" ca="1" si="0"/>
        <v>450000</v>
      </c>
      <c r="W18" s="3">
        <f t="shared" ca="1" si="0"/>
        <v>537567.78566155769</v>
      </c>
      <c r="X18" s="3">
        <f t="shared" ca="1" si="0"/>
        <v>570000</v>
      </c>
      <c r="Y18" s="3">
        <f t="shared" ca="1" si="0"/>
        <v>676267.93546028342</v>
      </c>
      <c r="Z18" s="3">
        <f t="shared" ca="1" si="0"/>
        <v>690000</v>
      </c>
      <c r="AA18" s="3">
        <f t="shared" ca="1" si="0"/>
        <v>690000</v>
      </c>
      <c r="AB18" s="3">
        <f t="shared" ca="1" si="0"/>
        <v>690000</v>
      </c>
      <c r="AC18" s="3">
        <f t="shared" ca="1" si="0"/>
        <v>690000</v>
      </c>
      <c r="AD18" s="3">
        <f t="shared" ca="1" si="0"/>
        <v>690000</v>
      </c>
      <c r="AE18" s="3">
        <f t="shared" ca="1" si="0"/>
        <v>690000</v>
      </c>
      <c r="AF18" s="3">
        <f t="shared" ca="1" si="0"/>
        <v>750000</v>
      </c>
      <c r="AG18" s="3">
        <f t="shared" ca="1" si="0"/>
        <v>810000</v>
      </c>
      <c r="AH18" s="3">
        <f t="shared" ca="1" si="0"/>
        <v>858000</v>
      </c>
      <c r="AI18" s="3">
        <f t="shared" ca="1" si="0"/>
        <v>966000</v>
      </c>
      <c r="AJ18" s="3">
        <f t="shared" ca="1" si="0"/>
        <v>1074000</v>
      </c>
      <c r="AK18" s="3">
        <f t="shared" ca="1" si="0"/>
        <v>1122000</v>
      </c>
      <c r="AL18" s="3">
        <f t="shared" ca="1" si="0"/>
        <v>1206000</v>
      </c>
      <c r="AM18" s="3">
        <f t="shared" ca="1" si="0"/>
        <v>1290000</v>
      </c>
      <c r="AN18" s="3">
        <f t="shared" ca="1" si="0"/>
        <v>1374000</v>
      </c>
      <c r="AO18" s="3">
        <f t="shared" ca="1" si="0"/>
        <v>1434000</v>
      </c>
      <c r="AP18" s="3">
        <f t="shared" ca="1" si="0"/>
        <v>1554000</v>
      </c>
      <c r="AQ18" s="3">
        <f t="shared" ca="1" si="0"/>
        <v>1614000</v>
      </c>
      <c r="AR18" s="3">
        <f t="shared" ca="1" si="0"/>
        <v>1734000</v>
      </c>
      <c r="AS18" s="3">
        <f t="shared" ca="1" si="0"/>
        <v>1854000</v>
      </c>
      <c r="AT18" s="3">
        <f t="shared" ca="1" si="0"/>
        <v>1970432.2143384423</v>
      </c>
      <c r="AU18" s="3">
        <f t="shared" ca="1" si="0"/>
        <v>2143084.4914398799</v>
      </c>
      <c r="AV18" s="3">
        <f t="shared" ca="1" si="0"/>
        <v>2311732.0645397166</v>
      </c>
      <c r="AW18" s="3">
        <f t="shared" ca="1" si="0"/>
        <v>2476136.8015460242</v>
      </c>
      <c r="AX18" s="3">
        <f t="shared" ca="1" si="0"/>
        <v>2696046.4102958222</v>
      </c>
      <c r="AY18" s="3">
        <f t="shared" ca="1" si="0"/>
        <v>2851193.5965534365</v>
      </c>
      <c r="AZ18" s="3">
        <f t="shared" ca="1" si="0"/>
        <v>3061295.1719408361</v>
      </c>
      <c r="BA18" s="3">
        <f t="shared" ca="1" si="0"/>
        <v>3326051.1088227443</v>
      </c>
      <c r="BB18" s="3">
        <f t="shared" ca="1" si="0"/>
        <v>3525143.5389922983</v>
      </c>
      <c r="BC18" s="3">
        <f t="shared" ca="1" si="0"/>
        <v>3778235.6928154575</v>
      </c>
      <c r="BD18" s="3">
        <f t="shared" ca="1" si="0"/>
        <v>4024970.7752936548</v>
      </c>
      <c r="BE18" s="3">
        <f t="shared" ca="1" si="0"/>
        <v>4324970.7752936548</v>
      </c>
      <c r="BF18" s="3">
        <f t="shared" ca="1" si="0"/>
        <v>4607035.2039705394</v>
      </c>
      <c r="BG18" s="3">
        <f t="shared" ca="1" si="0"/>
        <v>4881539.7581734145</v>
      </c>
      <c r="BH18" s="3">
        <f t="shared" ca="1" si="0"/>
        <v>5208034.9043730879</v>
      </c>
      <c r="BI18" s="3">
        <f t="shared" ca="1" si="0"/>
        <v>5526044.3783857031</v>
      </c>
      <c r="BJ18" s="3">
        <f t="shared" ca="1" si="0"/>
        <v>5873463.5958852991</v>
      </c>
      <c r="BK18" s="3">
        <f t="shared" ca="1" si="0"/>
        <v>6211357.9684005277</v>
      </c>
      <c r="BL18" s="3">
        <f t="shared" ca="1" si="0"/>
        <v>6599161.1191753261</v>
      </c>
      <c r="BM18" s="3">
        <f t="shared" ca="1" si="0"/>
        <v>6954672.9929391425</v>
      </c>
      <c r="BN18" s="3">
        <f t="shared" ca="1" si="0"/>
        <v>7358857.8532782504</v>
      </c>
      <c r="BO18" s="3">
        <f t="shared" ca="1" si="0"/>
        <v>7811042.1609245688</v>
      </c>
      <c r="BP18" s="3">
        <f t="shared" ca="1" si="0"/>
        <v>8250512.3258809634</v>
      </c>
      <c r="BQ18" s="3">
        <f t="shared" ca="1" si="0"/>
        <v>8736512.3258809634</v>
      </c>
    </row>
    <row r="21" spans="1:69">
      <c r="B21" s="25" t="s">
        <v>345</v>
      </c>
    </row>
    <row r="22" spans="1:69" s="82" customFormat="1">
      <c r="A22" s="59"/>
      <c r="B22" s="59"/>
      <c r="C22" s="87"/>
      <c r="D22" s="84"/>
      <c r="E22" s="40" t="str">
        <f xml:space="preserve">  InpC!E$49</f>
        <v>Opening Deferred Income</v>
      </c>
      <c r="F22" s="40">
        <f xml:space="preserve">  InpC!F$49</f>
        <v>0</v>
      </c>
      <c r="G22" s="40" t="str">
        <f xml:space="preserve">  InpC!G$49</f>
        <v>GBP</v>
      </c>
      <c r="M22" s="80"/>
    </row>
    <row r="23" spans="1:69">
      <c r="A23" s="18"/>
      <c r="B23" s="18"/>
      <c r="C23" s="28"/>
      <c r="D23" s="27"/>
      <c r="E23" s="9" t="str">
        <f xml:space="preserve">  Time!E$28</f>
        <v>Period number</v>
      </c>
      <c r="F23" s="9">
        <f xml:space="preserve">  Time!F$28</f>
        <v>0</v>
      </c>
      <c r="G23" s="9" t="str">
        <f xml:space="preserve">  Time!G$28</f>
        <v>Counter</v>
      </c>
      <c r="H23" s="9">
        <f xml:space="preserve">  Time!H$28</f>
        <v>0</v>
      </c>
      <c r="I23" s="9">
        <f xml:space="preserve">  Time!I$28</f>
        <v>0</v>
      </c>
      <c r="J23" s="9">
        <f xml:space="preserve">  Time!J$28</f>
        <v>1</v>
      </c>
      <c r="K23" s="9">
        <f xml:space="preserve">  Time!K$28</f>
        <v>2</v>
      </c>
      <c r="L23" s="9">
        <f xml:space="preserve">  Time!L$28</f>
        <v>3</v>
      </c>
      <c r="M23" s="9">
        <f xml:space="preserve">  Time!M$28</f>
        <v>4</v>
      </c>
      <c r="N23" s="9">
        <f xml:space="preserve">  Time!N$28</f>
        <v>5</v>
      </c>
      <c r="O23" s="9">
        <f xml:space="preserve">  Time!O$28</f>
        <v>6</v>
      </c>
      <c r="P23" s="9">
        <f xml:space="preserve">  Time!P$28</f>
        <v>7</v>
      </c>
      <c r="Q23" s="9">
        <f xml:space="preserve">  Time!Q$28</f>
        <v>8</v>
      </c>
      <c r="R23" s="9">
        <f xml:space="preserve">  Time!R$28</f>
        <v>9</v>
      </c>
      <c r="S23" s="9">
        <f xml:space="preserve">  Time!S$28</f>
        <v>10</v>
      </c>
      <c r="T23" s="9">
        <f xml:space="preserve">  Time!T$28</f>
        <v>11</v>
      </c>
      <c r="U23" s="9">
        <f xml:space="preserve">  Time!U$28</f>
        <v>12</v>
      </c>
      <c r="V23" s="9">
        <f xml:space="preserve">  Time!V$28</f>
        <v>13</v>
      </c>
      <c r="W23" s="9">
        <f xml:space="preserve">  Time!W$28</f>
        <v>14</v>
      </c>
      <c r="X23" s="9">
        <f xml:space="preserve">  Time!X$28</f>
        <v>15</v>
      </c>
      <c r="Y23" s="9">
        <f xml:space="preserve">  Time!Y$28</f>
        <v>16</v>
      </c>
      <c r="Z23" s="9">
        <f xml:space="preserve">  Time!Z$28</f>
        <v>17</v>
      </c>
      <c r="AA23" s="9">
        <f xml:space="preserve">  Time!AA$28</f>
        <v>18</v>
      </c>
      <c r="AB23" s="9">
        <f xml:space="preserve">  Time!AB$28</f>
        <v>19</v>
      </c>
      <c r="AC23" s="9">
        <f xml:space="preserve">  Time!AC$28</f>
        <v>20</v>
      </c>
      <c r="AD23" s="9">
        <f xml:space="preserve">  Time!AD$28</f>
        <v>21</v>
      </c>
      <c r="AE23" s="9">
        <f xml:space="preserve">  Time!AE$28</f>
        <v>22</v>
      </c>
      <c r="AF23" s="9">
        <f xml:space="preserve">  Time!AF$28</f>
        <v>23</v>
      </c>
      <c r="AG23" s="9">
        <f xml:space="preserve">  Time!AG$28</f>
        <v>24</v>
      </c>
      <c r="AH23" s="9">
        <f xml:space="preserve">  Time!AH$28</f>
        <v>25</v>
      </c>
      <c r="AI23" s="9">
        <f xml:space="preserve">  Time!AI$28</f>
        <v>26</v>
      </c>
      <c r="AJ23" s="9">
        <f xml:space="preserve">  Time!AJ$28</f>
        <v>27</v>
      </c>
      <c r="AK23" s="9">
        <f xml:space="preserve">  Time!AK$28</f>
        <v>28</v>
      </c>
      <c r="AL23" s="9">
        <f xml:space="preserve">  Time!AL$28</f>
        <v>29</v>
      </c>
      <c r="AM23" s="9">
        <f xml:space="preserve">  Time!AM$28</f>
        <v>30</v>
      </c>
      <c r="AN23" s="9">
        <f xml:space="preserve">  Time!AN$28</f>
        <v>31</v>
      </c>
      <c r="AO23" s="9">
        <f xml:space="preserve">  Time!AO$28</f>
        <v>32</v>
      </c>
      <c r="AP23" s="9">
        <f xml:space="preserve">  Time!AP$28</f>
        <v>33</v>
      </c>
      <c r="AQ23" s="9">
        <f xml:space="preserve">  Time!AQ$28</f>
        <v>34</v>
      </c>
      <c r="AR23" s="9">
        <f xml:space="preserve">  Time!AR$28</f>
        <v>35</v>
      </c>
      <c r="AS23" s="9">
        <f xml:space="preserve">  Time!AS$28</f>
        <v>36</v>
      </c>
      <c r="AT23" s="9">
        <f xml:space="preserve">  Time!AT$28</f>
        <v>37</v>
      </c>
      <c r="AU23" s="9">
        <f xml:space="preserve">  Time!AU$28</f>
        <v>38</v>
      </c>
      <c r="AV23" s="9">
        <f xml:space="preserve">  Time!AV$28</f>
        <v>39</v>
      </c>
      <c r="AW23" s="9">
        <f xml:space="preserve">  Time!AW$28</f>
        <v>40</v>
      </c>
      <c r="AX23" s="9">
        <f xml:space="preserve">  Time!AX$28</f>
        <v>41</v>
      </c>
      <c r="AY23" s="9">
        <f xml:space="preserve">  Time!AY$28</f>
        <v>42</v>
      </c>
      <c r="AZ23" s="9">
        <f xml:space="preserve">  Time!AZ$28</f>
        <v>43</v>
      </c>
      <c r="BA23" s="9">
        <f xml:space="preserve">  Time!BA$28</f>
        <v>44</v>
      </c>
      <c r="BB23" s="9">
        <f xml:space="preserve">  Time!BB$28</f>
        <v>45</v>
      </c>
      <c r="BC23" s="9">
        <f xml:space="preserve">  Time!BC$28</f>
        <v>46</v>
      </c>
      <c r="BD23" s="9">
        <f xml:space="preserve">  Time!BD$28</f>
        <v>47</v>
      </c>
      <c r="BE23" s="9">
        <f xml:space="preserve">  Time!BE$28</f>
        <v>48</v>
      </c>
      <c r="BF23" s="9">
        <f xml:space="preserve">  Time!BF$28</f>
        <v>49</v>
      </c>
      <c r="BG23" s="9">
        <f xml:space="preserve">  Time!BG$28</f>
        <v>50</v>
      </c>
      <c r="BH23" s="9">
        <f xml:space="preserve">  Time!BH$28</f>
        <v>51</v>
      </c>
      <c r="BI23" s="9">
        <f xml:space="preserve">  Time!BI$28</f>
        <v>52</v>
      </c>
      <c r="BJ23" s="9">
        <f xml:space="preserve">  Time!BJ$28</f>
        <v>53</v>
      </c>
      <c r="BK23" s="9">
        <f xml:space="preserve">  Time!BK$28</f>
        <v>54</v>
      </c>
      <c r="BL23" s="9">
        <f xml:space="preserve">  Time!BL$28</f>
        <v>55</v>
      </c>
      <c r="BM23" s="9">
        <f xml:space="preserve">  Time!BM$28</f>
        <v>56</v>
      </c>
      <c r="BN23" s="9">
        <f xml:space="preserve">  Time!BN$28</f>
        <v>57</v>
      </c>
      <c r="BO23" s="9">
        <f xml:space="preserve">  Time!BO$28</f>
        <v>58</v>
      </c>
      <c r="BP23" s="9">
        <f xml:space="preserve">  Time!BP$28</f>
        <v>59</v>
      </c>
      <c r="BQ23" s="9">
        <f xml:space="preserve">  Time!BQ$28</f>
        <v>60</v>
      </c>
    </row>
    <row r="24" spans="1:69">
      <c r="E24" s="47" t="s">
        <v>87</v>
      </c>
      <c r="G24" s="47" t="s">
        <v>258</v>
      </c>
      <c r="J24" s="2">
        <f t="shared" ref="J24:BQ24" si="1" xml:space="preserve">  I27</f>
        <v>0</v>
      </c>
      <c r="K24" s="2">
        <f t="shared" ca="1" si="1"/>
        <v>-18000</v>
      </c>
      <c r="L24" s="2">
        <f t="shared" ca="1" si="1"/>
        <v>96000</v>
      </c>
      <c r="M24" s="2">
        <f t="shared" ca="1" si="1"/>
        <v>198000</v>
      </c>
      <c r="N24" s="2">
        <f t="shared" ca="1" si="1"/>
        <v>288000</v>
      </c>
      <c r="O24" s="2">
        <f t="shared" ca="1" si="1"/>
        <v>366000</v>
      </c>
      <c r="P24" s="2">
        <f t="shared" ca="1" si="1"/>
        <v>564000</v>
      </c>
      <c r="Q24" s="2">
        <f t="shared" ca="1" si="1"/>
        <v>1002000</v>
      </c>
      <c r="R24" s="2">
        <f t="shared" ca="1" si="1"/>
        <v>1260000</v>
      </c>
      <c r="S24" s="2">
        <f t="shared" ca="1" si="1"/>
        <v>1482000</v>
      </c>
      <c r="T24" s="2">
        <f t="shared" ca="1" si="1"/>
        <v>1272000</v>
      </c>
      <c r="U24" s="2">
        <f t="shared" ca="1" si="1"/>
        <v>2382000</v>
      </c>
      <c r="V24" s="2">
        <f t="shared" ca="1" si="1"/>
        <v>2052000</v>
      </c>
      <c r="W24" s="2">
        <f t="shared" ca="1" si="1"/>
        <v>3042000</v>
      </c>
      <c r="X24" s="2">
        <f t="shared" ca="1" si="1"/>
        <v>3699245.6422771346</v>
      </c>
      <c r="Y24" s="2">
        <f t="shared" ca="1" si="1"/>
        <v>3662432.2143384423</v>
      </c>
      <c r="Z24" s="2">
        <f t="shared" ca="1" si="1"/>
        <v>4405379.504401559</v>
      </c>
      <c r="AA24" s="2">
        <f t="shared" ca="1" si="1"/>
        <v>4024164.2788781589</v>
      </c>
      <c r="AB24" s="2">
        <f t="shared" ca="1" si="1"/>
        <v>3622164.2788781589</v>
      </c>
      <c r="AC24" s="2">
        <f t="shared" ca="1" si="1"/>
        <v>3508164.2788781589</v>
      </c>
      <c r="AD24" s="2">
        <f t="shared" ca="1" si="1"/>
        <v>3250164.2788781589</v>
      </c>
      <c r="AE24" s="2">
        <f t="shared" ca="1" si="1"/>
        <v>2992164.2788781589</v>
      </c>
      <c r="AF24" s="2">
        <f t="shared" ca="1" si="1"/>
        <v>2302164.2788781589</v>
      </c>
      <c r="AG24" s="2">
        <f t="shared" ca="1" si="1"/>
        <v>3712164.2788781589</v>
      </c>
      <c r="AH24" s="2">
        <f t="shared" ca="1" si="1"/>
        <v>3622164.2788781589</v>
      </c>
      <c r="AI24" s="2">
        <f t="shared" ca="1" si="1"/>
        <v>4924164.2788781589</v>
      </c>
      <c r="AJ24" s="2">
        <f t="shared" ca="1" si="1"/>
        <v>6448977.7068168512</v>
      </c>
      <c r="AK24" s="2">
        <f t="shared" ca="1" si="1"/>
        <v>7204164.2788781589</v>
      </c>
      <c r="AL24" s="2">
        <f t="shared" ca="1" si="1"/>
        <v>8077379.504401559</v>
      </c>
      <c r="AM24" s="2">
        <f t="shared" ca="1" si="1"/>
        <v>8476164.2788781598</v>
      </c>
      <c r="AN24" s="2">
        <f t="shared" ca="1" si="1"/>
        <v>8626164.2788781598</v>
      </c>
      <c r="AO24" s="2">
        <f t="shared" ca="1" si="1"/>
        <v>8692164.2788781598</v>
      </c>
      <c r="AP24" s="2">
        <f t="shared" ca="1" si="1"/>
        <v>8698164.2788781598</v>
      </c>
      <c r="AQ24" s="2">
        <f t="shared" ca="1" si="1"/>
        <v>9304164.2788781598</v>
      </c>
      <c r="AR24" s="2">
        <f t="shared" ca="1" si="1"/>
        <v>9130164.2788781598</v>
      </c>
      <c r="AS24" s="2">
        <f t="shared" ca="1" si="1"/>
        <v>10276164.27887816</v>
      </c>
      <c r="AT24" s="2">
        <f t="shared" ca="1" si="1"/>
        <v>11302164.27887816</v>
      </c>
      <c r="AU24" s="2">
        <f t="shared" ca="1" si="1"/>
        <v>12211732.064539718</v>
      </c>
      <c r="AV24" s="2">
        <f t="shared" ca="1" si="1"/>
        <v>14388647.573099837</v>
      </c>
      <c r="AW24" s="2">
        <f t="shared" ca="1" si="1"/>
        <v>16396915.508560121</v>
      </c>
      <c r="AX24" s="2">
        <f t="shared" ca="1" si="1"/>
        <v>17520778.707014099</v>
      </c>
      <c r="AY24" s="2">
        <f t="shared" ca="1" si="1"/>
        <v>19864732.296718277</v>
      </c>
      <c r="AZ24" s="2">
        <f t="shared" ca="1" si="1"/>
        <v>21333538.70016484</v>
      </c>
      <c r="BA24" s="2">
        <f t="shared" ca="1" si="1"/>
        <v>23312243.528224003</v>
      </c>
      <c r="BB24" s="2">
        <f t="shared" ca="1" si="1"/>
        <v>25746192.419401258</v>
      </c>
      <c r="BC24" s="2">
        <f t="shared" ca="1" si="1"/>
        <v>27981048.880408961</v>
      </c>
      <c r="BD24" s="2">
        <f t="shared" ca="1" si="1"/>
        <v>29962813.187593501</v>
      </c>
      <c r="BE24" s="2">
        <f t="shared" ca="1" si="1"/>
        <v>32417842.412299849</v>
      </c>
      <c r="BF24" s="2">
        <f t="shared" ca="1" si="1"/>
        <v>35292871.637006193</v>
      </c>
      <c r="BG24" s="2">
        <f t="shared" ca="1" si="1"/>
        <v>37885836.433035657</v>
      </c>
      <c r="BH24" s="2">
        <f t="shared" ca="1" si="1"/>
        <v>40924296.674862243</v>
      </c>
      <c r="BI24" s="2">
        <f t="shared" ca="1" si="1"/>
        <v>44356261.770489156</v>
      </c>
      <c r="BJ24" s="2">
        <f t="shared" ca="1" si="1"/>
        <v>47470217.392103456</v>
      </c>
      <c r="BK24" s="2">
        <f t="shared" ca="1" si="1"/>
        <v>51676753.796218157</v>
      </c>
      <c r="BL24" s="2">
        <f t="shared" ca="1" si="1"/>
        <v>54825395.827817626</v>
      </c>
      <c r="BM24" s="2">
        <f t="shared" ca="1" si="1"/>
        <v>59026234.708642304</v>
      </c>
      <c r="BN24" s="2">
        <f t="shared" ca="1" si="1"/>
        <v>63591561.71570316</v>
      </c>
      <c r="BO24" s="2">
        <f t="shared" ca="1" si="1"/>
        <v>67752703.86242491</v>
      </c>
      <c r="BP24" s="2">
        <f t="shared" ca="1" si="1"/>
        <v>72901661.701500341</v>
      </c>
      <c r="BQ24" s="2">
        <f t="shared" ca="1" si="1"/>
        <v>77611149.375619382</v>
      </c>
    </row>
    <row r="25" spans="1:69">
      <c r="D25" s="91" t="s">
        <v>219</v>
      </c>
      <c r="E25" s="2" t="str">
        <f t="shared" ref="E25:BQ25" si="2" xml:space="preserve">  E$12</f>
        <v>New Deferred Income from customer orders</v>
      </c>
      <c r="F25" s="2">
        <f t="shared" si="2"/>
        <v>0</v>
      </c>
      <c r="G25" s="2" t="str">
        <f t="shared" si="2"/>
        <v>GBP</v>
      </c>
      <c r="H25" s="2">
        <f t="shared" ca="1" si="2"/>
        <v>223488000</v>
      </c>
      <c r="I25" s="2">
        <f t="shared" si="2"/>
        <v>0</v>
      </c>
      <c r="J25" s="2">
        <f t="shared" ca="1" si="2"/>
        <v>0</v>
      </c>
      <c r="K25" s="2">
        <f t="shared" ca="1" si="2"/>
        <v>144000</v>
      </c>
      <c r="L25" s="2">
        <f t="shared" ca="1" si="2"/>
        <v>144000</v>
      </c>
      <c r="M25" s="2">
        <f t="shared" ca="1" si="2"/>
        <v>144000</v>
      </c>
      <c r="N25" s="2">
        <f t="shared" ca="1" si="2"/>
        <v>144000</v>
      </c>
      <c r="O25" s="2">
        <f t="shared" ca="1" si="2"/>
        <v>288000</v>
      </c>
      <c r="P25" s="2">
        <f t="shared" ca="1" si="2"/>
        <v>576000</v>
      </c>
      <c r="Q25" s="2">
        <f t="shared" ca="1" si="2"/>
        <v>432000</v>
      </c>
      <c r="R25" s="2">
        <f t="shared" ca="1" si="2"/>
        <v>432000</v>
      </c>
      <c r="S25" s="2">
        <f t="shared" ca="1" si="2"/>
        <v>0</v>
      </c>
      <c r="T25" s="2">
        <f t="shared" ca="1" si="2"/>
        <v>1440000</v>
      </c>
      <c r="U25" s="2">
        <f t="shared" ca="1" si="2"/>
        <v>0</v>
      </c>
      <c r="V25" s="2">
        <f t="shared" ca="1" si="2"/>
        <v>1440000</v>
      </c>
      <c r="W25" s="2">
        <f t="shared" ca="1" si="2"/>
        <v>1194813.4279386925</v>
      </c>
      <c r="X25" s="2">
        <f t="shared" ca="1" si="2"/>
        <v>533186.5720613075</v>
      </c>
      <c r="Y25" s="2">
        <f t="shared" ca="1" si="2"/>
        <v>1419215.2255233999</v>
      </c>
      <c r="Z25" s="2">
        <f t="shared" ca="1" si="2"/>
        <v>308784.77447660017</v>
      </c>
      <c r="AA25" s="2">
        <f t="shared" ca="1" si="2"/>
        <v>288000</v>
      </c>
      <c r="AB25" s="2">
        <f t="shared" ca="1" si="2"/>
        <v>576000</v>
      </c>
      <c r="AC25" s="2">
        <f t="shared" ca="1" si="2"/>
        <v>432000</v>
      </c>
      <c r="AD25" s="2">
        <f t="shared" ca="1" si="2"/>
        <v>432000</v>
      </c>
      <c r="AE25" s="2">
        <f t="shared" ca="1" si="2"/>
        <v>0</v>
      </c>
      <c r="AF25" s="2">
        <f t="shared" ca="1" si="2"/>
        <v>2160000</v>
      </c>
      <c r="AG25" s="2">
        <f t="shared" ca="1" si="2"/>
        <v>720000</v>
      </c>
      <c r="AH25" s="2">
        <f t="shared" ca="1" si="2"/>
        <v>2160000</v>
      </c>
      <c r="AI25" s="2">
        <f t="shared" ca="1" si="2"/>
        <v>2490813.4279386923</v>
      </c>
      <c r="AJ25" s="2">
        <f t="shared" ca="1" si="2"/>
        <v>1829186.5720613075</v>
      </c>
      <c r="AK25" s="2">
        <f t="shared" ca="1" si="2"/>
        <v>1995215.2255233999</v>
      </c>
      <c r="AL25" s="2">
        <f t="shared" ca="1" si="2"/>
        <v>1604784.7744766001</v>
      </c>
      <c r="AM25" s="2">
        <f t="shared" ca="1" si="2"/>
        <v>1440000</v>
      </c>
      <c r="AN25" s="2">
        <f t="shared" ca="1" si="2"/>
        <v>1440000</v>
      </c>
      <c r="AO25" s="2">
        <f t="shared" ca="1" si="2"/>
        <v>1440000</v>
      </c>
      <c r="AP25" s="2">
        <f t="shared" ca="1" si="2"/>
        <v>2160000</v>
      </c>
      <c r="AQ25" s="2">
        <f t="shared" ca="1" si="2"/>
        <v>1440000</v>
      </c>
      <c r="AR25" s="2">
        <f t="shared" ca="1" si="2"/>
        <v>2880000</v>
      </c>
      <c r="AS25" s="2">
        <f t="shared" ca="1" si="2"/>
        <v>2880000</v>
      </c>
      <c r="AT25" s="2">
        <f t="shared" ca="1" si="2"/>
        <v>2880000</v>
      </c>
      <c r="AU25" s="2">
        <f t="shared" ca="1" si="2"/>
        <v>4320000</v>
      </c>
      <c r="AV25" s="2">
        <f t="shared" ca="1" si="2"/>
        <v>4320000</v>
      </c>
      <c r="AW25" s="2">
        <f t="shared" ca="1" si="2"/>
        <v>3600000</v>
      </c>
      <c r="AX25" s="2">
        <f t="shared" ca="1" si="2"/>
        <v>5040000</v>
      </c>
      <c r="AY25" s="2">
        <f t="shared" ca="1" si="2"/>
        <v>4320000</v>
      </c>
      <c r="AZ25" s="2">
        <f t="shared" ca="1" si="2"/>
        <v>5040000</v>
      </c>
      <c r="BA25" s="2">
        <f t="shared" ca="1" si="2"/>
        <v>5760000</v>
      </c>
      <c r="BB25" s="2">
        <f t="shared" ca="1" si="2"/>
        <v>5760000</v>
      </c>
      <c r="BC25" s="2">
        <f t="shared" ca="1" si="2"/>
        <v>5760000</v>
      </c>
      <c r="BD25" s="2">
        <f t="shared" ca="1" si="2"/>
        <v>6480000.0000000009</v>
      </c>
      <c r="BE25" s="2">
        <f t="shared" ca="1" si="2"/>
        <v>7200000</v>
      </c>
      <c r="BF25" s="2">
        <f t="shared" ca="1" si="2"/>
        <v>7200000</v>
      </c>
      <c r="BG25" s="2">
        <f t="shared" ca="1" si="2"/>
        <v>7920000</v>
      </c>
      <c r="BH25" s="2">
        <f t="shared" ca="1" si="2"/>
        <v>8640000</v>
      </c>
      <c r="BI25" s="2">
        <f t="shared" ca="1" si="2"/>
        <v>8640000</v>
      </c>
      <c r="BJ25" s="2">
        <f t="shared" ca="1" si="2"/>
        <v>10080000</v>
      </c>
      <c r="BK25" s="2">
        <f t="shared" ca="1" si="2"/>
        <v>9360000</v>
      </c>
      <c r="BL25" s="2">
        <f t="shared" ca="1" si="2"/>
        <v>10799999.999999998</v>
      </c>
      <c r="BM25" s="2">
        <f t="shared" ca="1" si="2"/>
        <v>11520000.000000002</v>
      </c>
      <c r="BN25" s="2">
        <f t="shared" ca="1" si="2"/>
        <v>11519999.999999996</v>
      </c>
      <c r="BO25" s="2">
        <f t="shared" ca="1" si="2"/>
        <v>12960000</v>
      </c>
      <c r="BP25" s="2">
        <f t="shared" ca="1" si="2"/>
        <v>12960000</v>
      </c>
      <c r="BQ25" s="2">
        <f t="shared" ca="1" si="2"/>
        <v>14400000</v>
      </c>
    </row>
    <row r="26" spans="1:69">
      <c r="D26" s="91" t="s">
        <v>300</v>
      </c>
      <c r="E26" s="2" t="str">
        <f t="shared" ref="E26:BQ26" si="3" xml:space="preserve">  E$18</f>
        <v>Income</v>
      </c>
      <c r="F26" s="2">
        <f t="shared" si="3"/>
        <v>0</v>
      </c>
      <c r="G26" s="2" t="str">
        <f t="shared" si="3"/>
        <v>GBP</v>
      </c>
      <c r="H26" s="2">
        <f t="shared" ca="1" si="3"/>
        <v>140213362.95026162</v>
      </c>
      <c r="I26" s="2">
        <f t="shared" si="3"/>
        <v>0</v>
      </c>
      <c r="J26" s="2">
        <f t="shared" ca="1" si="3"/>
        <v>18000</v>
      </c>
      <c r="K26" s="2">
        <f t="shared" ca="1" si="3"/>
        <v>30000</v>
      </c>
      <c r="L26" s="2">
        <f t="shared" ca="1" si="3"/>
        <v>42000</v>
      </c>
      <c r="M26" s="2">
        <f t="shared" ca="1" si="3"/>
        <v>54000</v>
      </c>
      <c r="N26" s="2">
        <f t="shared" ca="1" si="3"/>
        <v>66000</v>
      </c>
      <c r="O26" s="2">
        <f t="shared" ca="1" si="3"/>
        <v>90000</v>
      </c>
      <c r="P26" s="2">
        <f t="shared" ca="1" si="3"/>
        <v>138000</v>
      </c>
      <c r="Q26" s="2">
        <f t="shared" ca="1" si="3"/>
        <v>174000</v>
      </c>
      <c r="R26" s="2">
        <f t="shared" ca="1" si="3"/>
        <v>210000</v>
      </c>
      <c r="S26" s="2">
        <f t="shared" ca="1" si="3"/>
        <v>210000</v>
      </c>
      <c r="T26" s="2">
        <f t="shared" ca="1" si="3"/>
        <v>330000</v>
      </c>
      <c r="U26" s="2">
        <f t="shared" ca="1" si="3"/>
        <v>330000</v>
      </c>
      <c r="V26" s="2">
        <f t="shared" ca="1" si="3"/>
        <v>450000</v>
      </c>
      <c r="W26" s="2">
        <f t="shared" ca="1" si="3"/>
        <v>537567.78566155769</v>
      </c>
      <c r="X26" s="2">
        <f t="shared" ca="1" si="3"/>
        <v>570000</v>
      </c>
      <c r="Y26" s="2">
        <f t="shared" ca="1" si="3"/>
        <v>676267.93546028342</v>
      </c>
      <c r="Z26" s="2">
        <f t="shared" ca="1" si="3"/>
        <v>690000</v>
      </c>
      <c r="AA26" s="2">
        <f t="shared" ca="1" si="3"/>
        <v>690000</v>
      </c>
      <c r="AB26" s="2">
        <f t="shared" ca="1" si="3"/>
        <v>690000</v>
      </c>
      <c r="AC26" s="2">
        <f t="shared" ca="1" si="3"/>
        <v>690000</v>
      </c>
      <c r="AD26" s="2">
        <f t="shared" ca="1" si="3"/>
        <v>690000</v>
      </c>
      <c r="AE26" s="2">
        <f t="shared" ca="1" si="3"/>
        <v>690000</v>
      </c>
      <c r="AF26" s="2">
        <f t="shared" ca="1" si="3"/>
        <v>750000</v>
      </c>
      <c r="AG26" s="2">
        <f t="shared" ca="1" si="3"/>
        <v>810000</v>
      </c>
      <c r="AH26" s="2">
        <f t="shared" ca="1" si="3"/>
        <v>858000</v>
      </c>
      <c r="AI26" s="2">
        <f t="shared" ca="1" si="3"/>
        <v>966000</v>
      </c>
      <c r="AJ26" s="2">
        <f t="shared" ca="1" si="3"/>
        <v>1074000</v>
      </c>
      <c r="AK26" s="2">
        <f t="shared" ca="1" si="3"/>
        <v>1122000</v>
      </c>
      <c r="AL26" s="2">
        <f t="shared" ca="1" si="3"/>
        <v>1206000</v>
      </c>
      <c r="AM26" s="2">
        <f t="shared" ca="1" si="3"/>
        <v>1290000</v>
      </c>
      <c r="AN26" s="2">
        <f t="shared" ca="1" si="3"/>
        <v>1374000</v>
      </c>
      <c r="AO26" s="2">
        <f t="shared" ca="1" si="3"/>
        <v>1434000</v>
      </c>
      <c r="AP26" s="2">
        <f t="shared" ca="1" si="3"/>
        <v>1554000</v>
      </c>
      <c r="AQ26" s="2">
        <f t="shared" ca="1" si="3"/>
        <v>1614000</v>
      </c>
      <c r="AR26" s="2">
        <f t="shared" ca="1" si="3"/>
        <v>1734000</v>
      </c>
      <c r="AS26" s="2">
        <f t="shared" ca="1" si="3"/>
        <v>1854000</v>
      </c>
      <c r="AT26" s="2">
        <f t="shared" ca="1" si="3"/>
        <v>1970432.2143384423</v>
      </c>
      <c r="AU26" s="2">
        <f t="shared" ca="1" si="3"/>
        <v>2143084.4914398799</v>
      </c>
      <c r="AV26" s="2">
        <f t="shared" ca="1" si="3"/>
        <v>2311732.0645397166</v>
      </c>
      <c r="AW26" s="2">
        <f t="shared" ca="1" si="3"/>
        <v>2476136.8015460242</v>
      </c>
      <c r="AX26" s="2">
        <f t="shared" ca="1" si="3"/>
        <v>2696046.4102958222</v>
      </c>
      <c r="AY26" s="2">
        <f t="shared" ca="1" si="3"/>
        <v>2851193.5965534365</v>
      </c>
      <c r="AZ26" s="2">
        <f t="shared" ca="1" si="3"/>
        <v>3061295.1719408361</v>
      </c>
      <c r="BA26" s="2">
        <f t="shared" ca="1" si="3"/>
        <v>3326051.1088227443</v>
      </c>
      <c r="BB26" s="2">
        <f t="shared" ca="1" si="3"/>
        <v>3525143.5389922983</v>
      </c>
      <c r="BC26" s="2">
        <f t="shared" ca="1" si="3"/>
        <v>3778235.6928154575</v>
      </c>
      <c r="BD26" s="2">
        <f t="shared" ca="1" si="3"/>
        <v>4024970.7752936548</v>
      </c>
      <c r="BE26" s="2">
        <f t="shared" ca="1" si="3"/>
        <v>4324970.7752936548</v>
      </c>
      <c r="BF26" s="2">
        <f t="shared" ca="1" si="3"/>
        <v>4607035.2039705394</v>
      </c>
      <c r="BG26" s="2">
        <f t="shared" ca="1" si="3"/>
        <v>4881539.7581734145</v>
      </c>
      <c r="BH26" s="2">
        <f t="shared" ca="1" si="3"/>
        <v>5208034.9043730879</v>
      </c>
      <c r="BI26" s="2">
        <f t="shared" ca="1" si="3"/>
        <v>5526044.3783857031</v>
      </c>
      <c r="BJ26" s="2">
        <f t="shared" ca="1" si="3"/>
        <v>5873463.5958852991</v>
      </c>
      <c r="BK26" s="2">
        <f t="shared" ca="1" si="3"/>
        <v>6211357.9684005277</v>
      </c>
      <c r="BL26" s="2">
        <f t="shared" ca="1" si="3"/>
        <v>6599161.1191753261</v>
      </c>
      <c r="BM26" s="2">
        <f t="shared" ca="1" si="3"/>
        <v>6954672.9929391425</v>
      </c>
      <c r="BN26" s="2">
        <f t="shared" ca="1" si="3"/>
        <v>7358857.8532782504</v>
      </c>
      <c r="BO26" s="2">
        <f t="shared" ca="1" si="3"/>
        <v>7811042.1609245688</v>
      </c>
      <c r="BP26" s="2">
        <f t="shared" ca="1" si="3"/>
        <v>8250512.3258809634</v>
      </c>
      <c r="BQ26" s="2">
        <f t="shared" ca="1" si="3"/>
        <v>8736512.3258809634</v>
      </c>
    </row>
    <row r="27" spans="1:69" s="81" customFormat="1">
      <c r="A27" s="63"/>
      <c r="B27" s="63"/>
      <c r="C27" s="88"/>
      <c r="D27" s="90"/>
      <c r="E27" s="33" t="s">
        <v>345</v>
      </c>
      <c r="F27" s="33"/>
      <c r="G27" s="33" t="s">
        <v>258</v>
      </c>
      <c r="H27" s="33"/>
      <c r="I27" s="11">
        <f t="shared" ref="I27:BQ27" si="4" xml:space="preserve">  IF( I23 = 0, $F22, I24 + I25 - I26 )</f>
        <v>0</v>
      </c>
      <c r="J27" s="11">
        <f t="shared" ca="1" si="4"/>
        <v>-18000</v>
      </c>
      <c r="K27" s="11">
        <f t="shared" ca="1" si="4"/>
        <v>96000</v>
      </c>
      <c r="L27" s="11">
        <f t="shared" ca="1" si="4"/>
        <v>198000</v>
      </c>
      <c r="M27" s="11">
        <f t="shared" ca="1" si="4"/>
        <v>288000</v>
      </c>
      <c r="N27" s="11">
        <f t="shared" ca="1" si="4"/>
        <v>366000</v>
      </c>
      <c r="O27" s="11">
        <f t="shared" ca="1" si="4"/>
        <v>564000</v>
      </c>
      <c r="P27" s="11">
        <f t="shared" ca="1" si="4"/>
        <v>1002000</v>
      </c>
      <c r="Q27" s="11">
        <f t="shared" ca="1" si="4"/>
        <v>1260000</v>
      </c>
      <c r="R27" s="11">
        <f t="shared" ca="1" si="4"/>
        <v>1482000</v>
      </c>
      <c r="S27" s="11">
        <f t="shared" ca="1" si="4"/>
        <v>1272000</v>
      </c>
      <c r="T27" s="11">
        <f t="shared" ca="1" si="4"/>
        <v>2382000</v>
      </c>
      <c r="U27" s="11">
        <f t="shared" ca="1" si="4"/>
        <v>2052000</v>
      </c>
      <c r="V27" s="11">
        <f t="shared" ca="1" si="4"/>
        <v>3042000</v>
      </c>
      <c r="W27" s="11">
        <f t="shared" ca="1" si="4"/>
        <v>3699245.6422771346</v>
      </c>
      <c r="X27" s="11">
        <f t="shared" ca="1" si="4"/>
        <v>3662432.2143384423</v>
      </c>
      <c r="Y27" s="11">
        <f t="shared" ca="1" si="4"/>
        <v>4405379.504401559</v>
      </c>
      <c r="Z27" s="11">
        <f t="shared" ca="1" si="4"/>
        <v>4024164.2788781589</v>
      </c>
      <c r="AA27" s="11">
        <f t="shared" ca="1" si="4"/>
        <v>3622164.2788781589</v>
      </c>
      <c r="AB27" s="11">
        <f t="shared" ca="1" si="4"/>
        <v>3508164.2788781589</v>
      </c>
      <c r="AC27" s="11">
        <f t="shared" ca="1" si="4"/>
        <v>3250164.2788781589</v>
      </c>
      <c r="AD27" s="11">
        <f t="shared" ca="1" si="4"/>
        <v>2992164.2788781589</v>
      </c>
      <c r="AE27" s="11">
        <f t="shared" ca="1" si="4"/>
        <v>2302164.2788781589</v>
      </c>
      <c r="AF27" s="11">
        <f t="shared" ca="1" si="4"/>
        <v>3712164.2788781589</v>
      </c>
      <c r="AG27" s="11">
        <f t="shared" ca="1" si="4"/>
        <v>3622164.2788781589</v>
      </c>
      <c r="AH27" s="11">
        <f t="shared" ca="1" si="4"/>
        <v>4924164.2788781589</v>
      </c>
      <c r="AI27" s="11">
        <f t="shared" ca="1" si="4"/>
        <v>6448977.7068168512</v>
      </c>
      <c r="AJ27" s="11">
        <f t="shared" ca="1" si="4"/>
        <v>7204164.2788781589</v>
      </c>
      <c r="AK27" s="11">
        <f t="shared" ca="1" si="4"/>
        <v>8077379.504401559</v>
      </c>
      <c r="AL27" s="11">
        <f t="shared" ca="1" si="4"/>
        <v>8476164.2788781598</v>
      </c>
      <c r="AM27" s="11">
        <f t="shared" ca="1" si="4"/>
        <v>8626164.2788781598</v>
      </c>
      <c r="AN27" s="11">
        <f t="shared" ca="1" si="4"/>
        <v>8692164.2788781598</v>
      </c>
      <c r="AO27" s="11">
        <f t="shared" ca="1" si="4"/>
        <v>8698164.2788781598</v>
      </c>
      <c r="AP27" s="11">
        <f t="shared" ca="1" si="4"/>
        <v>9304164.2788781598</v>
      </c>
      <c r="AQ27" s="11">
        <f t="shared" ca="1" si="4"/>
        <v>9130164.2788781598</v>
      </c>
      <c r="AR27" s="11">
        <f t="shared" ca="1" si="4"/>
        <v>10276164.27887816</v>
      </c>
      <c r="AS27" s="11">
        <f t="shared" ca="1" si="4"/>
        <v>11302164.27887816</v>
      </c>
      <c r="AT27" s="11">
        <f t="shared" ca="1" si="4"/>
        <v>12211732.064539718</v>
      </c>
      <c r="AU27" s="11">
        <f t="shared" ca="1" si="4"/>
        <v>14388647.573099837</v>
      </c>
      <c r="AV27" s="11">
        <f t="shared" ca="1" si="4"/>
        <v>16396915.508560121</v>
      </c>
      <c r="AW27" s="11">
        <f t="shared" ca="1" si="4"/>
        <v>17520778.707014099</v>
      </c>
      <c r="AX27" s="11">
        <f t="shared" ca="1" si="4"/>
        <v>19864732.296718277</v>
      </c>
      <c r="AY27" s="11">
        <f t="shared" ca="1" si="4"/>
        <v>21333538.70016484</v>
      </c>
      <c r="AZ27" s="11">
        <f t="shared" ca="1" si="4"/>
        <v>23312243.528224003</v>
      </c>
      <c r="BA27" s="11">
        <f t="shared" ca="1" si="4"/>
        <v>25746192.419401258</v>
      </c>
      <c r="BB27" s="11">
        <f t="shared" ca="1" si="4"/>
        <v>27981048.880408961</v>
      </c>
      <c r="BC27" s="11">
        <f t="shared" ca="1" si="4"/>
        <v>29962813.187593501</v>
      </c>
      <c r="BD27" s="11">
        <f t="shared" ca="1" si="4"/>
        <v>32417842.412299849</v>
      </c>
      <c r="BE27" s="11">
        <f t="shared" ca="1" si="4"/>
        <v>35292871.637006193</v>
      </c>
      <c r="BF27" s="11">
        <f t="shared" ca="1" si="4"/>
        <v>37885836.433035657</v>
      </c>
      <c r="BG27" s="11">
        <f t="shared" ca="1" si="4"/>
        <v>40924296.674862243</v>
      </c>
      <c r="BH27" s="11">
        <f t="shared" ca="1" si="4"/>
        <v>44356261.770489156</v>
      </c>
      <c r="BI27" s="11">
        <f t="shared" ca="1" si="4"/>
        <v>47470217.392103456</v>
      </c>
      <c r="BJ27" s="11">
        <f t="shared" ca="1" si="4"/>
        <v>51676753.796218157</v>
      </c>
      <c r="BK27" s="11">
        <f t="shared" ca="1" si="4"/>
        <v>54825395.827817626</v>
      </c>
      <c r="BL27" s="11">
        <f t="shared" ca="1" si="4"/>
        <v>59026234.708642304</v>
      </c>
      <c r="BM27" s="11">
        <f t="shared" ca="1" si="4"/>
        <v>63591561.71570316</v>
      </c>
      <c r="BN27" s="11">
        <f t="shared" ca="1" si="4"/>
        <v>67752703.86242491</v>
      </c>
      <c r="BO27" s="11">
        <f t="shared" ca="1" si="4"/>
        <v>72901661.701500341</v>
      </c>
      <c r="BP27" s="11">
        <f t="shared" ca="1" si="4"/>
        <v>77611149.375619382</v>
      </c>
      <c r="BQ27" s="11">
        <f t="shared" ca="1" si="4"/>
        <v>83274637.049738422</v>
      </c>
    </row>
    <row r="30" spans="1:69">
      <c r="B30" s="25" t="s">
        <v>271</v>
      </c>
    </row>
  </sheetData>
  <conditionalFormatting sqref="F3">
    <cfRule type="cellIs" dxfId="293" priority="13" stopIfTrue="1" operator="notEqual">
      <formula>0</formula>
    </cfRule>
    <cfRule type="cellIs" dxfId="292" priority="14" stopIfTrue="1" operator="equal">
      <formula>""</formula>
    </cfRule>
  </conditionalFormatting>
  <conditionalFormatting sqref="J3:BQ3">
    <cfRule type="cellIs" dxfId="291" priority="11" stopIfTrue="1" operator="equal">
      <formula>"Construction"</formula>
    </cfRule>
    <cfRule type="cellIs" dxfId="290" priority="12" stopIfTrue="1" operator="equal">
      <formula>"Operations"</formula>
    </cfRule>
  </conditionalFormatting>
  <conditionalFormatting sqref="J3:BQ3">
    <cfRule type="cellIs" dxfId="289" priority="10" operator="equal">
      <formula>"Fin Close"</formula>
    </cfRule>
  </conditionalFormatting>
  <conditionalFormatting sqref="J3:BQ3">
    <cfRule type="cellIs" dxfId="288" priority="8" operator="equal">
      <formula>"PPA ext."</formula>
    </cfRule>
    <cfRule type="cellIs" dxfId="287" priority="9" operator="equal">
      <formula>"Delay"</formula>
    </cfRule>
  </conditionalFormatting>
  <conditionalFormatting sqref="F2">
    <cfRule type="cellIs" dxfId="286" priority="1" stopIfTrue="1" operator="notEqual">
      <formula>0</formula>
    </cfRule>
    <cfRule type="cellIs" dxfId="285"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Q8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9.33203125" style="47" bestFit="1" customWidth="1"/>
    <col min="6" max="6" width="20.5546875" style="47" bestFit="1" customWidth="1"/>
    <col min="7" max="8" width="13.2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Inventory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197</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Financials!E$18</f>
        <v>Supplier Invoices</v>
      </c>
      <c r="F10" s="4">
        <f xml:space="preserve">  Financials!F$18</f>
        <v>0</v>
      </c>
      <c r="G10" s="4" t="str">
        <f xml:space="preserve">  Financials!G$18</f>
        <v>GBP</v>
      </c>
      <c r="H10" s="4">
        <f ca="1" xml:space="preserve">  Financials!H$18</f>
        <v>57400000</v>
      </c>
      <c r="I10" s="4">
        <f xml:space="preserve">  Financials!I$18</f>
        <v>0</v>
      </c>
      <c r="J10" s="4">
        <f xml:space="preserve">  Financials!J$18</f>
        <v>0</v>
      </c>
      <c r="K10" s="4">
        <f xml:space="preserve">  Financials!K$18</f>
        <v>0</v>
      </c>
      <c r="L10" s="4">
        <f xml:space="preserve">  Financials!L$18</f>
        <v>350000</v>
      </c>
      <c r="M10" s="4">
        <f xml:space="preserve">  Financials!M$18</f>
        <v>350000</v>
      </c>
      <c r="N10" s="4">
        <f xml:space="preserve">  Financials!N$18</f>
        <v>350000</v>
      </c>
      <c r="O10" s="4">
        <f xml:space="preserve">  Financials!O$18</f>
        <v>0</v>
      </c>
      <c r="P10" s="4">
        <f xml:space="preserve">  Financials!P$18</f>
        <v>350000</v>
      </c>
      <c r="Q10" s="4">
        <f xml:space="preserve">  Financials!Q$18</f>
        <v>0</v>
      </c>
      <c r="R10" s="4">
        <f xml:space="preserve">  Financials!R$18</f>
        <v>350000</v>
      </c>
      <c r="S10" s="4">
        <f xml:space="preserve">  Financials!S$18</f>
        <v>0</v>
      </c>
      <c r="T10" s="4">
        <f xml:space="preserve">  Financials!T$18</f>
        <v>0</v>
      </c>
      <c r="U10" s="4">
        <f xml:space="preserve">  Financials!U$18</f>
        <v>0</v>
      </c>
      <c r="V10" s="4">
        <f ca="1" xml:space="preserve">  Financials!V$18</f>
        <v>0</v>
      </c>
      <c r="W10" s="4">
        <f ca="1" xml:space="preserve">  Financials!W$18</f>
        <v>0</v>
      </c>
      <c r="X10" s="4">
        <f ca="1" xml:space="preserve">  Financials!X$18</f>
        <v>0</v>
      </c>
      <c r="Y10" s="4">
        <f ca="1" xml:space="preserve">  Financials!Y$18</f>
        <v>175000</v>
      </c>
      <c r="Z10" s="4">
        <f ca="1" xml:space="preserve">  Financials!Z$18</f>
        <v>175000</v>
      </c>
      <c r="AA10" s="4">
        <f ca="1" xml:space="preserve">  Financials!AA$18</f>
        <v>175000</v>
      </c>
      <c r="AB10" s="4">
        <f ca="1" xml:space="preserve">  Financials!AB$18</f>
        <v>350000</v>
      </c>
      <c r="AC10" s="4">
        <f ca="1" xml:space="preserve">  Financials!AC$18</f>
        <v>350000</v>
      </c>
      <c r="AD10" s="4">
        <f ca="1" xml:space="preserve">  Financials!AD$18</f>
        <v>175000</v>
      </c>
      <c r="AE10" s="4">
        <f ca="1" xml:space="preserve">  Financials!AE$18</f>
        <v>350000</v>
      </c>
      <c r="AF10" s="4">
        <f ca="1" xml:space="preserve">  Financials!AF$18</f>
        <v>350000</v>
      </c>
      <c r="AG10" s="4">
        <f ca="1" xml:space="preserve">  Financials!AG$18</f>
        <v>350000</v>
      </c>
      <c r="AH10" s="4">
        <f ca="1" xml:space="preserve">  Financials!AH$18</f>
        <v>350000</v>
      </c>
      <c r="AI10" s="4">
        <f ca="1" xml:space="preserve">  Financials!AI$18</f>
        <v>525000</v>
      </c>
      <c r="AJ10" s="4">
        <f ca="1" xml:space="preserve">  Financials!AJ$18</f>
        <v>350000</v>
      </c>
      <c r="AK10" s="4">
        <f ca="1" xml:space="preserve">  Financials!AK$18</f>
        <v>525000</v>
      </c>
      <c r="AL10" s="4">
        <f ca="1" xml:space="preserve">  Financials!AL$18</f>
        <v>525000</v>
      </c>
      <c r="AM10" s="4">
        <f ca="1" xml:space="preserve">  Financials!AM$18</f>
        <v>525000</v>
      </c>
      <c r="AN10" s="4">
        <f ca="1" xml:space="preserve">  Financials!AN$18</f>
        <v>700000</v>
      </c>
      <c r="AO10" s="4">
        <f ca="1" xml:space="preserve">  Financials!AO$18</f>
        <v>700000</v>
      </c>
      <c r="AP10" s="4">
        <f ca="1" xml:space="preserve">  Financials!AP$18</f>
        <v>700000</v>
      </c>
      <c r="AQ10" s="4">
        <f ca="1" xml:space="preserve">  Financials!AQ$18</f>
        <v>875000</v>
      </c>
      <c r="AR10" s="4">
        <f ca="1" xml:space="preserve">  Financials!AR$18</f>
        <v>700000</v>
      </c>
      <c r="AS10" s="4">
        <f ca="1" xml:space="preserve">  Financials!AS$18</f>
        <v>875000</v>
      </c>
      <c r="AT10" s="4">
        <f ca="1" xml:space="preserve">  Financials!AT$18</f>
        <v>1050000</v>
      </c>
      <c r="AU10" s="4">
        <f ca="1" xml:space="preserve">  Financials!AU$18</f>
        <v>875000</v>
      </c>
      <c r="AV10" s="4">
        <f ca="1" xml:space="preserve">  Financials!AV$18</f>
        <v>1050000</v>
      </c>
      <c r="AW10" s="4">
        <f ca="1" xml:space="preserve">  Financials!AW$18</f>
        <v>1050000</v>
      </c>
      <c r="AX10" s="4">
        <f ca="1" xml:space="preserve">  Financials!AX$18</f>
        <v>1225000</v>
      </c>
      <c r="AY10" s="4">
        <f ca="1" xml:space="preserve">  Financials!AY$18</f>
        <v>1225000</v>
      </c>
      <c r="AZ10" s="4">
        <f ca="1" xml:space="preserve">  Financials!AZ$18</f>
        <v>1225000</v>
      </c>
      <c r="BA10" s="4">
        <f ca="1" xml:space="preserve">  Financials!BA$18</f>
        <v>1400000</v>
      </c>
      <c r="BB10" s="4">
        <f ca="1" xml:space="preserve">  Financials!BB$18</f>
        <v>1400000</v>
      </c>
      <c r="BC10" s="4">
        <f ca="1" xml:space="preserve">  Financials!BC$18</f>
        <v>1575000</v>
      </c>
      <c r="BD10" s="4">
        <f ca="1" xml:space="preserve">  Financials!BD$18</f>
        <v>1575000</v>
      </c>
      <c r="BE10" s="4">
        <f ca="1" xml:space="preserve">  Financials!BE$18</f>
        <v>1750000</v>
      </c>
      <c r="BF10" s="4">
        <f ca="1" xml:space="preserve">  Financials!BF$18</f>
        <v>1750000</v>
      </c>
      <c r="BG10" s="4">
        <f ca="1" xml:space="preserve">  Financials!BG$18</f>
        <v>1925000</v>
      </c>
      <c r="BH10" s="4">
        <f ca="1" xml:space="preserve">  Financials!BH$18</f>
        <v>2100000</v>
      </c>
      <c r="BI10" s="4">
        <f ca="1" xml:space="preserve">  Financials!BI$18</f>
        <v>2100000</v>
      </c>
      <c r="BJ10" s="4">
        <f ca="1" xml:space="preserve">  Financials!BJ$18</f>
        <v>2275000</v>
      </c>
      <c r="BK10" s="4">
        <f ca="1" xml:space="preserve">  Financials!BK$18</f>
        <v>2450000</v>
      </c>
      <c r="BL10" s="4">
        <f ca="1" xml:space="preserve">  Financials!BL$18</f>
        <v>2625000</v>
      </c>
      <c r="BM10" s="4">
        <f ca="1" xml:space="preserve">  Financials!BM$18</f>
        <v>2625000</v>
      </c>
      <c r="BN10" s="4">
        <f ca="1" xml:space="preserve">  Financials!BN$18</f>
        <v>2975000</v>
      </c>
      <c r="BO10" s="4">
        <f ca="1" xml:space="preserve">  Financials!BO$18</f>
        <v>2975000</v>
      </c>
      <c r="BP10" s="4">
        <f ca="1" xml:space="preserve">  Financials!BP$18</f>
        <v>3325000</v>
      </c>
      <c r="BQ10" s="4">
        <f ca="1" xml:space="preserve">  Financials!BQ$18</f>
        <v>3325000</v>
      </c>
    </row>
    <row r="11" spans="1:69" outlineLevel="1">
      <c r="A11" s="34"/>
      <c r="B11" s="34"/>
      <c r="C11" s="64"/>
      <c r="D11" s="65"/>
      <c r="E11" s="21" t="s">
        <v>197</v>
      </c>
      <c r="F11" s="21"/>
      <c r="G11" s="21" t="s">
        <v>258</v>
      </c>
      <c r="H11" s="3">
        <f ca="1" xml:space="preserve"> SUM( J11:BQ11 )</f>
        <v>11480000</v>
      </c>
      <c r="I11" s="21"/>
      <c r="J11" s="3">
        <f t="shared" ref="J11:BQ11" si="0" xml:space="preserve">  ( J10 * $F9 )</f>
        <v>0</v>
      </c>
      <c r="K11" s="3">
        <f t="shared" si="0"/>
        <v>0</v>
      </c>
      <c r="L11" s="3">
        <f t="shared" si="0"/>
        <v>70000</v>
      </c>
      <c r="M11" s="3">
        <f t="shared" si="0"/>
        <v>70000</v>
      </c>
      <c r="N11" s="3">
        <f t="shared" si="0"/>
        <v>70000</v>
      </c>
      <c r="O11" s="3">
        <f t="shared" si="0"/>
        <v>0</v>
      </c>
      <c r="P11" s="3">
        <f t="shared" si="0"/>
        <v>70000</v>
      </c>
      <c r="Q11" s="3">
        <f t="shared" si="0"/>
        <v>0</v>
      </c>
      <c r="R11" s="3">
        <f t="shared" si="0"/>
        <v>70000</v>
      </c>
      <c r="S11" s="3">
        <f t="shared" si="0"/>
        <v>0</v>
      </c>
      <c r="T11" s="3">
        <f t="shared" si="0"/>
        <v>0</v>
      </c>
      <c r="U11" s="3">
        <f t="shared" si="0"/>
        <v>0</v>
      </c>
      <c r="V11" s="3">
        <f t="shared" ca="1" si="0"/>
        <v>0</v>
      </c>
      <c r="W11" s="3">
        <f t="shared" ca="1" si="0"/>
        <v>0</v>
      </c>
      <c r="X11" s="3">
        <f t="shared" ca="1" si="0"/>
        <v>0</v>
      </c>
      <c r="Y11" s="3">
        <f t="shared" ca="1" si="0"/>
        <v>35000</v>
      </c>
      <c r="Z11" s="3">
        <f t="shared" ca="1" si="0"/>
        <v>35000</v>
      </c>
      <c r="AA11" s="3">
        <f t="shared" ca="1" si="0"/>
        <v>35000</v>
      </c>
      <c r="AB11" s="3">
        <f t="shared" ca="1" si="0"/>
        <v>70000</v>
      </c>
      <c r="AC11" s="3">
        <f t="shared" ca="1" si="0"/>
        <v>70000</v>
      </c>
      <c r="AD11" s="3">
        <f t="shared" ca="1" si="0"/>
        <v>35000</v>
      </c>
      <c r="AE11" s="3">
        <f t="shared" ca="1" si="0"/>
        <v>70000</v>
      </c>
      <c r="AF11" s="3">
        <f t="shared" ca="1" si="0"/>
        <v>70000</v>
      </c>
      <c r="AG11" s="3">
        <f t="shared" ca="1" si="0"/>
        <v>70000</v>
      </c>
      <c r="AH11" s="3">
        <f t="shared" ca="1" si="0"/>
        <v>70000</v>
      </c>
      <c r="AI11" s="3">
        <f t="shared" ca="1" si="0"/>
        <v>105000</v>
      </c>
      <c r="AJ11" s="3">
        <f t="shared" ca="1" si="0"/>
        <v>70000</v>
      </c>
      <c r="AK11" s="3">
        <f t="shared" ca="1" si="0"/>
        <v>105000</v>
      </c>
      <c r="AL11" s="3">
        <f t="shared" ca="1" si="0"/>
        <v>105000</v>
      </c>
      <c r="AM11" s="3">
        <f t="shared" ca="1" si="0"/>
        <v>105000</v>
      </c>
      <c r="AN11" s="3">
        <f t="shared" ca="1" si="0"/>
        <v>140000</v>
      </c>
      <c r="AO11" s="3">
        <f t="shared" ca="1" si="0"/>
        <v>140000</v>
      </c>
      <c r="AP11" s="3">
        <f t="shared" ca="1" si="0"/>
        <v>140000</v>
      </c>
      <c r="AQ11" s="3">
        <f t="shared" ca="1" si="0"/>
        <v>175000</v>
      </c>
      <c r="AR11" s="3">
        <f t="shared" ca="1" si="0"/>
        <v>140000</v>
      </c>
      <c r="AS11" s="3">
        <f t="shared" ca="1" si="0"/>
        <v>175000</v>
      </c>
      <c r="AT11" s="3">
        <f t="shared" ca="1" si="0"/>
        <v>210000</v>
      </c>
      <c r="AU11" s="3">
        <f t="shared" ca="1" si="0"/>
        <v>175000</v>
      </c>
      <c r="AV11" s="3">
        <f t="shared" ca="1" si="0"/>
        <v>210000</v>
      </c>
      <c r="AW11" s="3">
        <f t="shared" ca="1" si="0"/>
        <v>210000</v>
      </c>
      <c r="AX11" s="3">
        <f t="shared" ca="1" si="0"/>
        <v>245000</v>
      </c>
      <c r="AY11" s="3">
        <f t="shared" ca="1" si="0"/>
        <v>245000</v>
      </c>
      <c r="AZ11" s="3">
        <f t="shared" ca="1" si="0"/>
        <v>245000</v>
      </c>
      <c r="BA11" s="3">
        <f t="shared" ca="1" si="0"/>
        <v>280000</v>
      </c>
      <c r="BB11" s="3">
        <f t="shared" ca="1" si="0"/>
        <v>280000</v>
      </c>
      <c r="BC11" s="3">
        <f t="shared" ca="1" si="0"/>
        <v>315000</v>
      </c>
      <c r="BD11" s="3">
        <f t="shared" ca="1" si="0"/>
        <v>315000</v>
      </c>
      <c r="BE11" s="3">
        <f t="shared" ca="1" si="0"/>
        <v>350000</v>
      </c>
      <c r="BF11" s="3">
        <f t="shared" ca="1" si="0"/>
        <v>350000</v>
      </c>
      <c r="BG11" s="3">
        <f t="shared" ca="1" si="0"/>
        <v>385000</v>
      </c>
      <c r="BH11" s="3">
        <f t="shared" ca="1" si="0"/>
        <v>420000</v>
      </c>
      <c r="BI11" s="3">
        <f t="shared" ca="1" si="0"/>
        <v>420000</v>
      </c>
      <c r="BJ11" s="3">
        <f t="shared" ca="1" si="0"/>
        <v>455000</v>
      </c>
      <c r="BK11" s="3">
        <f t="shared" ca="1" si="0"/>
        <v>490000</v>
      </c>
      <c r="BL11" s="3">
        <f t="shared" ca="1" si="0"/>
        <v>525000</v>
      </c>
      <c r="BM11" s="3">
        <f t="shared" ca="1" si="0"/>
        <v>525000</v>
      </c>
      <c r="BN11" s="3">
        <f t="shared" ca="1" si="0"/>
        <v>595000</v>
      </c>
      <c r="BO11" s="3">
        <f t="shared" ca="1" si="0"/>
        <v>595000</v>
      </c>
      <c r="BP11" s="3">
        <f t="shared" ca="1" si="0"/>
        <v>665000</v>
      </c>
      <c r="BQ11" s="3">
        <f t="shared" ca="1" si="0"/>
        <v>665000</v>
      </c>
    </row>
    <row r="14" spans="1:69">
      <c r="B14" s="25" t="s">
        <v>244</v>
      </c>
    </row>
    <row r="15" spans="1:69" outlineLevel="1">
      <c r="A15" s="18"/>
      <c r="B15" s="18"/>
      <c r="C15" s="28"/>
      <c r="D15" s="27"/>
      <c r="E15" s="4" t="str">
        <f xml:space="preserve">  InpC!E$21</f>
        <v>Contract Length</v>
      </c>
      <c r="F15" s="4">
        <f xml:space="preserve">  InpC!F$21</f>
        <v>24</v>
      </c>
      <c r="G15" s="4" t="str">
        <f xml:space="preserve">  InpC!G$21</f>
        <v>Months</v>
      </c>
      <c r="M15" s="2"/>
    </row>
    <row r="16" spans="1:69" outlineLevel="1">
      <c r="A16" s="18"/>
      <c r="B16" s="18"/>
      <c r="C16" s="28"/>
      <c r="D16" s="27"/>
      <c r="E16" s="4" t="str">
        <f xml:space="preserve">  Customers!E$14</f>
        <v>New customer orders</v>
      </c>
      <c r="F16" s="4">
        <f xml:space="preserve">  Customers!F$14</f>
        <v>0</v>
      </c>
      <c r="G16" s="4" t="str">
        <f xml:space="preserve">  Customers!G$14</f>
        <v>Units</v>
      </c>
      <c r="H16" s="4">
        <f xml:space="preserve">  Customers!H$14</f>
        <v>1374286.5308829343</v>
      </c>
      <c r="I16" s="4">
        <f xml:space="preserve">  Customers!I$14</f>
        <v>0</v>
      </c>
      <c r="J16" s="4">
        <f xml:space="preserve">  Customers!J$14</f>
        <v>1000</v>
      </c>
      <c r="K16" s="4">
        <f xml:space="preserve">  Customers!K$14</f>
        <v>1000</v>
      </c>
      <c r="L16" s="4">
        <f xml:space="preserve">  Customers!L$14</f>
        <v>1000</v>
      </c>
      <c r="M16" s="4">
        <f xml:space="preserve">  Customers!M$14</f>
        <v>1000</v>
      </c>
      <c r="N16" s="4">
        <f xml:space="preserve">  Customers!N$14</f>
        <v>3000</v>
      </c>
      <c r="O16" s="4">
        <f xml:space="preserve">  Customers!O$14</f>
        <v>3000</v>
      </c>
      <c r="P16" s="4">
        <f xml:space="preserve">  Customers!P$14</f>
        <v>3000</v>
      </c>
      <c r="Q16" s="4">
        <f xml:space="preserve">  Customers!Q$14</f>
        <v>5000</v>
      </c>
      <c r="R16" s="4">
        <f xml:space="preserve">  Customers!R$14</f>
        <v>5000</v>
      </c>
      <c r="S16" s="4">
        <f xml:space="preserve">  Customers!S$14</f>
        <v>5000</v>
      </c>
      <c r="T16" s="4">
        <f xml:space="preserve">  Customers!T$14</f>
        <v>5000</v>
      </c>
      <c r="U16" s="4">
        <f xml:space="preserve">  Customers!U$14</f>
        <v>5000</v>
      </c>
      <c r="V16" s="4">
        <f xml:space="preserve">  Customers!V$14</f>
        <v>5297.3154717964762</v>
      </c>
      <c r="W16" s="4">
        <f xml:space="preserve">  Customers!W$14</f>
        <v>5612.3102415468647</v>
      </c>
      <c r="X16" s="4">
        <f xml:space="preserve">  Customers!X$14</f>
        <v>5946.035575013605</v>
      </c>
      <c r="Y16" s="4">
        <f xml:space="preserve">  Customers!Y$14</f>
        <v>6299.6052494743653</v>
      </c>
      <c r="Z16" s="4">
        <f xml:space="preserve">  Customers!Z$14</f>
        <v>6674.1992708501712</v>
      </c>
      <c r="AA16" s="4">
        <f xml:space="preserve">  Customers!AA$14</f>
        <v>7071.0678118654751</v>
      </c>
      <c r="AB16" s="4">
        <f xml:space="preserve">  Customers!AB$14</f>
        <v>7491.5353843834073</v>
      </c>
      <c r="AC16" s="4">
        <f xml:space="preserve">  Customers!AC$14</f>
        <v>7937.0052598409975</v>
      </c>
      <c r="AD16" s="4">
        <f xml:space="preserve">  Customers!AD$14</f>
        <v>8408.9641525371462</v>
      </c>
      <c r="AE16" s="4">
        <f xml:space="preserve">  Customers!AE$14</f>
        <v>8908.9871814033941</v>
      </c>
      <c r="AF16" s="4">
        <f xml:space="preserve">  Customers!AF$14</f>
        <v>9438.7431268169366</v>
      </c>
      <c r="AG16" s="4">
        <f xml:space="preserve">  Customers!AG$14</f>
        <v>10000.000000000002</v>
      </c>
      <c r="AH16" s="4">
        <f xml:space="preserve">  Customers!AH$14</f>
        <v>10594.630943592954</v>
      </c>
      <c r="AI16" s="4">
        <f xml:space="preserve">  Customers!AI$14</f>
        <v>11224.620483093731</v>
      </c>
      <c r="AJ16" s="4">
        <f xml:space="preserve">  Customers!AJ$14</f>
        <v>11892.071150027214</v>
      </c>
      <c r="AK16" s="4">
        <f xml:space="preserve">  Customers!AK$14</f>
        <v>12599.210498948736</v>
      </c>
      <c r="AL16" s="4">
        <f xml:space="preserve">  Customers!AL$14</f>
        <v>13348.39854170035</v>
      </c>
      <c r="AM16" s="4">
        <f xml:space="preserve">  Customers!AM$14</f>
        <v>14142.135623730957</v>
      </c>
      <c r="AN16" s="4">
        <f xml:space="preserve">  Customers!AN$14</f>
        <v>14983.070768766824</v>
      </c>
      <c r="AO16" s="4">
        <f xml:space="preserve">  Customers!AO$14</f>
        <v>15874.010519682004</v>
      </c>
      <c r="AP16" s="4">
        <f xml:space="preserve">  Customers!AP$14</f>
        <v>16817.9283050743</v>
      </c>
      <c r="AQ16" s="4">
        <f xml:space="preserve">  Customers!AQ$14</f>
        <v>17817.974362806795</v>
      </c>
      <c r="AR16" s="4">
        <f xml:space="preserve">  Customers!AR$14</f>
        <v>18877.486253633881</v>
      </c>
      <c r="AS16" s="4">
        <f xml:space="preserve">  Customers!AS$14</f>
        <v>20000.000000000011</v>
      </c>
      <c r="AT16" s="4">
        <f xml:space="preserve">  Customers!AT$14</f>
        <v>21189.261887185919</v>
      </c>
      <c r="AU16" s="4">
        <f xml:space="preserve">  Customers!AU$14</f>
        <v>22449.240966187477</v>
      </c>
      <c r="AV16" s="4">
        <f xml:space="preserve">  Customers!AV$14</f>
        <v>23784.142300054442</v>
      </c>
      <c r="AW16" s="4">
        <f xml:space="preserve">  Customers!AW$14</f>
        <v>25198.420997897487</v>
      </c>
      <c r="AX16" s="4">
        <f xml:space="preserve">  Customers!AX$14</f>
        <v>26696.797083400714</v>
      </c>
      <c r="AY16" s="4">
        <f xml:space="preserve">  Customers!AY$14</f>
        <v>28284.271247461929</v>
      </c>
      <c r="AZ16" s="4">
        <f xml:space="preserve">  Customers!AZ$14</f>
        <v>29966.141537533662</v>
      </c>
      <c r="BA16" s="4">
        <f xml:space="preserve">  Customers!BA$14</f>
        <v>31748.021039364026</v>
      </c>
      <c r="BB16" s="4">
        <f xml:space="preserve">  Customers!BB$14</f>
        <v>33635.856610148621</v>
      </c>
      <c r="BC16" s="4">
        <f xml:space="preserve">  Customers!BC$14</f>
        <v>35635.948725613613</v>
      </c>
      <c r="BD16" s="4">
        <f xml:space="preserve">  Customers!BD$14</f>
        <v>37754.972507267783</v>
      </c>
      <c r="BE16" s="4">
        <f xml:space="preserve">  Customers!BE$14</f>
        <v>40000.000000000051</v>
      </c>
      <c r="BF16" s="4">
        <f xml:space="preserve">  Customers!BF$14</f>
        <v>42378.523774371868</v>
      </c>
      <c r="BG16" s="4">
        <f xml:space="preserve">  Customers!BG$14</f>
        <v>44898.481932374983</v>
      </c>
      <c r="BH16" s="4">
        <f xml:space="preserve">  Customers!BH$14</f>
        <v>47568.284600108913</v>
      </c>
      <c r="BI16" s="4">
        <f xml:space="preserve">  Customers!BI$14</f>
        <v>50396.841995795003</v>
      </c>
      <c r="BJ16" s="4">
        <f xml:space="preserve">  Customers!BJ$14</f>
        <v>53393.594166801457</v>
      </c>
      <c r="BK16" s="4">
        <f xml:space="preserve">  Customers!BK$14</f>
        <v>56568.542494923888</v>
      </c>
      <c r="BL16" s="4">
        <f xml:space="preserve">  Customers!BL$14</f>
        <v>59932.283075067353</v>
      </c>
      <c r="BM16" s="4">
        <f xml:space="preserve">  Customers!BM$14</f>
        <v>63496.042078728082</v>
      </c>
      <c r="BN16" s="4">
        <f xml:space="preserve">  Customers!BN$14</f>
        <v>67271.713220297272</v>
      </c>
      <c r="BO16" s="4">
        <f xml:space="preserve">  Customers!BO$14</f>
        <v>71271.897451227269</v>
      </c>
      <c r="BP16" s="4">
        <f xml:space="preserve">  Customers!BP$14</f>
        <v>75509.94501453561</v>
      </c>
      <c r="BQ16" s="4">
        <f xml:space="preserve">  Customers!BQ$14</f>
        <v>80000.000000000146</v>
      </c>
    </row>
    <row r="17" spans="1:69" outlineLevel="1">
      <c r="A17" s="18"/>
      <c r="B17" s="18"/>
      <c r="C17" s="28"/>
      <c r="D17" s="27"/>
      <c r="E17" s="4" t="str">
        <f xml:space="preserve">  Customers!E$35</f>
        <v>Renewing Customer Orders</v>
      </c>
      <c r="F17" s="4">
        <f xml:space="preserve">  Customers!F$35</f>
        <v>0</v>
      </c>
      <c r="G17" s="4" t="str">
        <f xml:space="preserve">  Customers!G$35</f>
        <v>Units</v>
      </c>
      <c r="H17" s="4">
        <f ca="1" xml:space="preserve">  Customers!H$35</f>
        <v>274731.57555892796</v>
      </c>
      <c r="I17" s="4">
        <f xml:space="preserve">  Customers!I$35</f>
        <v>0</v>
      </c>
      <c r="J17" s="4">
        <f ca="1" xml:space="preserve">  Customers!J$35</f>
        <v>0</v>
      </c>
      <c r="K17" s="4">
        <f ca="1" xml:space="preserve">  Customers!K$35</f>
        <v>0</v>
      </c>
      <c r="L17" s="4">
        <f ca="1" xml:space="preserve">  Customers!L$35</f>
        <v>0</v>
      </c>
      <c r="M17" s="4">
        <f ca="1" xml:space="preserve">  Customers!M$35</f>
        <v>0</v>
      </c>
      <c r="N17" s="4">
        <f ca="1" xml:space="preserve">  Customers!N$35</f>
        <v>0</v>
      </c>
      <c r="O17" s="4">
        <f ca="1" xml:space="preserve">  Customers!O$35</f>
        <v>0</v>
      </c>
      <c r="P17" s="4">
        <f ca="1" xml:space="preserve">  Customers!P$35</f>
        <v>0</v>
      </c>
      <c r="Q17" s="4">
        <f ca="1" xml:space="preserve">  Customers!Q$35</f>
        <v>0</v>
      </c>
      <c r="R17" s="4">
        <f ca="1" xml:space="preserve">  Customers!R$35</f>
        <v>0</v>
      </c>
      <c r="S17" s="4">
        <f ca="1" xml:space="preserve">  Customers!S$35</f>
        <v>0</v>
      </c>
      <c r="T17" s="4">
        <f ca="1" xml:space="preserve">  Customers!T$35</f>
        <v>0</v>
      </c>
      <c r="U17" s="4">
        <f ca="1" xml:space="preserve">  Customers!U$35</f>
        <v>0</v>
      </c>
      <c r="V17" s="4">
        <f ca="1" xml:space="preserve">  Customers!V$35</f>
        <v>0</v>
      </c>
      <c r="W17" s="4">
        <f ca="1" xml:space="preserve">  Customers!W$35</f>
        <v>0</v>
      </c>
      <c r="X17" s="4">
        <f ca="1" xml:space="preserve">  Customers!X$35</f>
        <v>0</v>
      </c>
      <c r="Y17" s="4">
        <f ca="1" xml:space="preserve">  Customers!Y$35</f>
        <v>0</v>
      </c>
      <c r="Z17" s="4">
        <f ca="1" xml:space="preserve">  Customers!Z$35</f>
        <v>0</v>
      </c>
      <c r="AA17" s="4">
        <f ca="1" xml:space="preserve">  Customers!AA$35</f>
        <v>0</v>
      </c>
      <c r="AB17" s="4">
        <f ca="1" xml:space="preserve">  Customers!AB$35</f>
        <v>0</v>
      </c>
      <c r="AC17" s="4">
        <f ca="1" xml:space="preserve">  Customers!AC$35</f>
        <v>0</v>
      </c>
      <c r="AD17" s="4">
        <f ca="1" xml:space="preserve">  Customers!AD$35</f>
        <v>0</v>
      </c>
      <c r="AE17" s="4">
        <f ca="1" xml:space="preserve">  Customers!AE$35</f>
        <v>0</v>
      </c>
      <c r="AF17" s="4">
        <f ca="1" xml:space="preserve">  Customers!AF$35</f>
        <v>0</v>
      </c>
      <c r="AG17" s="4">
        <f ca="1" xml:space="preserve">  Customers!AG$35</f>
        <v>0</v>
      </c>
      <c r="AH17" s="4">
        <f ca="1" xml:space="preserve">  Customers!AH$35</f>
        <v>900</v>
      </c>
      <c r="AI17" s="4">
        <f ca="1" xml:space="preserve">  Customers!AI$35</f>
        <v>900</v>
      </c>
      <c r="AJ17" s="4">
        <f ca="1" xml:space="preserve">  Customers!AJ$35</f>
        <v>900</v>
      </c>
      <c r="AK17" s="4">
        <f ca="1" xml:space="preserve">  Customers!AK$35</f>
        <v>900</v>
      </c>
      <c r="AL17" s="4">
        <f ca="1" xml:space="preserve">  Customers!AL$35</f>
        <v>2700</v>
      </c>
      <c r="AM17" s="4">
        <f ca="1" xml:space="preserve">  Customers!AM$35</f>
        <v>2700</v>
      </c>
      <c r="AN17" s="4">
        <f ca="1" xml:space="preserve">  Customers!AN$35</f>
        <v>2700</v>
      </c>
      <c r="AO17" s="4">
        <f ca="1" xml:space="preserve">  Customers!AO$35</f>
        <v>4500</v>
      </c>
      <c r="AP17" s="4">
        <f ca="1" xml:space="preserve">  Customers!AP$35</f>
        <v>4500</v>
      </c>
      <c r="AQ17" s="4">
        <f ca="1" xml:space="preserve">  Customers!AQ$35</f>
        <v>4500</v>
      </c>
      <c r="AR17" s="4">
        <f ca="1" xml:space="preserve">  Customers!AR$35</f>
        <v>4500</v>
      </c>
      <c r="AS17" s="4">
        <f ca="1" xml:space="preserve">  Customers!AS$35</f>
        <v>4500</v>
      </c>
      <c r="AT17" s="4">
        <f ca="1" xml:space="preserve">  Customers!AT$35</f>
        <v>4767.5839246168289</v>
      </c>
      <c r="AU17" s="4">
        <f ca="1" xml:space="preserve">  Customers!AU$35</f>
        <v>5051.0792173921782</v>
      </c>
      <c r="AV17" s="4">
        <f ca="1" xml:space="preserve">  Customers!AV$35</f>
        <v>5351.4320175122448</v>
      </c>
      <c r="AW17" s="4">
        <f ca="1" xml:space="preserve">  Customers!AW$35</f>
        <v>5669.6447245269292</v>
      </c>
      <c r="AX17" s="4">
        <f ca="1" xml:space="preserve">  Customers!AX$35</f>
        <v>6006.7793437651544</v>
      </c>
      <c r="AY17" s="4">
        <f ca="1" xml:space="preserve">  Customers!AY$35</f>
        <v>6363.9610306789273</v>
      </c>
      <c r="AZ17" s="4">
        <f ca="1" xml:space="preserve">  Customers!AZ$35</f>
        <v>6742.3818459450667</v>
      </c>
      <c r="BA17" s="4">
        <f ca="1" xml:space="preserve">  Customers!BA$35</f>
        <v>7143.3047338568977</v>
      </c>
      <c r="BB17" s="4">
        <f ca="1" xml:space="preserve">  Customers!BB$35</f>
        <v>7568.0677372834316</v>
      </c>
      <c r="BC17" s="4">
        <f ca="1" xml:space="preserve">  Customers!BC$35</f>
        <v>8018.088463263055</v>
      </c>
      <c r="BD17" s="4">
        <f ca="1" xml:space="preserve">  Customers!BD$35</f>
        <v>8494.8688141352432</v>
      </c>
      <c r="BE17" s="4">
        <f ca="1" xml:space="preserve">  Customers!BE$35</f>
        <v>9000.0000000000018</v>
      </c>
      <c r="BF17" s="4">
        <f ca="1" xml:space="preserve">  Customers!BF$35</f>
        <v>9535.1678492336596</v>
      </c>
      <c r="BG17" s="4">
        <f ca="1" xml:space="preserve">  Customers!BG$35</f>
        <v>10102.158434784358</v>
      </c>
      <c r="BH17" s="4">
        <f ca="1" xml:space="preserve">  Customers!BH$35</f>
        <v>10702.864035024493</v>
      </c>
      <c r="BI17" s="4">
        <f ca="1" xml:space="preserve">  Customers!BI$35</f>
        <v>11339.289449053862</v>
      </c>
      <c r="BJ17" s="4">
        <f ca="1" xml:space="preserve">  Customers!BJ$35</f>
        <v>12013.558687530314</v>
      </c>
      <c r="BK17" s="4">
        <f ca="1" xml:space="preserve">  Customers!BK$35</f>
        <v>12727.922061357862</v>
      </c>
      <c r="BL17" s="4">
        <f ca="1" xml:space="preserve">  Customers!BL$35</f>
        <v>13484.763691890141</v>
      </c>
      <c r="BM17" s="4">
        <f ca="1" xml:space="preserve">  Customers!BM$35</f>
        <v>14286.609467713804</v>
      </c>
      <c r="BN17" s="4">
        <f ca="1" xml:space="preserve">  Customers!BN$35</f>
        <v>15136.13547456687</v>
      </c>
      <c r="BO17" s="4">
        <f ca="1" xml:space="preserve">  Customers!BO$35</f>
        <v>16036.176926526115</v>
      </c>
      <c r="BP17" s="4">
        <f ca="1" xml:space="preserve">  Customers!BP$35</f>
        <v>16989.737628270494</v>
      </c>
      <c r="BQ17" s="4">
        <f ca="1" xml:space="preserve">  Customers!BQ$35</f>
        <v>18000.000000000011</v>
      </c>
    </row>
    <row r="18" spans="1:69" outlineLevel="1">
      <c r="A18" s="34"/>
      <c r="B18" s="34"/>
      <c r="C18" s="64"/>
      <c r="D18" s="65"/>
      <c r="E18" s="21" t="s">
        <v>244</v>
      </c>
      <c r="F18" s="21"/>
      <c r="G18" s="21" t="s">
        <v>123</v>
      </c>
      <c r="H18" s="3">
        <f ca="1" xml:space="preserve"> SUM( J18:BQ18 )</f>
        <v>339457.30617658654</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1000</v>
      </c>
      <c r="AI18" s="3">
        <f ca="1" xml:space="preserve">  IF( Time!AI28 &lt; 1 + $F15, 0, OFFSET( AI16, 0, - 1 * ( $F15 ) ) ) + IF( Time!AI28 &lt; 1 + $F15, 0, OFFSET( AI17, 0, - 1 * ( $F15 ) ) )</f>
        <v>1000</v>
      </c>
      <c r="AJ18" s="3">
        <f ca="1" xml:space="preserve">  IF( Time!AJ28 &lt; 1 + $F15, 0, OFFSET( AJ16, 0, - 1 * ( $F15 ) ) ) + IF( Time!AJ28 &lt; 1 + $F15, 0, OFFSET( AJ17, 0, - 1 * ( $F15 ) ) )</f>
        <v>1000</v>
      </c>
      <c r="AK18" s="3">
        <f ca="1" xml:space="preserve">  IF( Time!AK28 &lt; 1 + $F15, 0, OFFSET( AK16, 0, - 1 * ( $F15 ) ) ) + IF( Time!AK28 &lt; 1 + $F15, 0, OFFSET( AK17, 0, - 1 * ( $F15 ) ) )</f>
        <v>1000</v>
      </c>
      <c r="AL18" s="3">
        <f ca="1" xml:space="preserve">  IF( Time!AL28 &lt; 1 + $F15, 0, OFFSET( AL16, 0, - 1 * ( $F15 ) ) ) + IF( Time!AL28 &lt; 1 + $F15, 0, OFFSET( AL17, 0, - 1 * ( $F15 ) ) )</f>
        <v>3000</v>
      </c>
      <c r="AM18" s="3">
        <f ca="1" xml:space="preserve">  IF( Time!AM28 &lt; 1 + $F15, 0, OFFSET( AM16, 0, - 1 * ( $F15 ) ) ) + IF( Time!AM28 &lt; 1 + $F15, 0, OFFSET( AM17, 0, - 1 * ( $F15 ) ) )</f>
        <v>3000</v>
      </c>
      <c r="AN18" s="3">
        <f ca="1" xml:space="preserve">  IF( Time!AN28 &lt; 1 + $F15, 0, OFFSET( AN16, 0, - 1 * ( $F15 ) ) ) + IF( Time!AN28 &lt; 1 + $F15, 0, OFFSET( AN17, 0, - 1 * ( $F15 ) ) )</f>
        <v>3000</v>
      </c>
      <c r="AO18" s="3">
        <f ca="1" xml:space="preserve">  IF( Time!AO28 &lt; 1 + $F15, 0, OFFSET( AO16, 0, - 1 * ( $F15 ) ) ) + IF( Time!AO28 &lt; 1 + $F15, 0, OFFSET( AO17, 0, - 1 * ( $F15 ) ) )</f>
        <v>5000</v>
      </c>
      <c r="AP18" s="3">
        <f ca="1" xml:space="preserve">  IF( Time!AP28 &lt; 1 + $F15, 0, OFFSET( AP16, 0, - 1 * ( $F15 ) ) ) + IF( Time!AP28 &lt; 1 + $F15, 0, OFFSET( AP17, 0, - 1 * ( $F15 ) ) )</f>
        <v>5000</v>
      </c>
      <c r="AQ18" s="3">
        <f ca="1" xml:space="preserve">  IF( Time!AQ28 &lt; 1 + $F15, 0, OFFSET( AQ16, 0, - 1 * ( $F15 ) ) ) + IF( Time!AQ28 &lt; 1 + $F15, 0, OFFSET( AQ17, 0, - 1 * ( $F15 ) ) )</f>
        <v>5000</v>
      </c>
      <c r="AR18" s="3">
        <f ca="1" xml:space="preserve">  IF( Time!AR28 &lt; 1 + $F15, 0, OFFSET( AR16, 0, - 1 * ( $F15 ) ) ) + IF( Time!AR28 &lt; 1 + $F15, 0, OFFSET( AR17, 0, - 1 * ( $F15 ) ) )</f>
        <v>5000</v>
      </c>
      <c r="AS18" s="3">
        <f ca="1" xml:space="preserve">  IF( Time!AS28 &lt; 1 + $F15, 0, OFFSET( AS16, 0, - 1 * ( $F15 ) ) ) + IF( Time!AS28 &lt; 1 + $F15, 0, OFFSET( AS17, 0, - 1 * ( $F15 ) ) )</f>
        <v>5000</v>
      </c>
      <c r="AT18" s="3">
        <f ca="1" xml:space="preserve">  IF( Time!AT28 &lt; 1 + $F15, 0, OFFSET( AT16, 0, - 1 * ( $F15 ) ) ) + IF( Time!AT28 &lt; 1 + $F15, 0, OFFSET( AT17, 0, - 1 * ( $F15 ) ) )</f>
        <v>5297.3154717964762</v>
      </c>
      <c r="AU18" s="3">
        <f ca="1" xml:space="preserve">  IF( Time!AU28 &lt; 1 + $F15, 0, OFFSET( AU16, 0, - 1 * ( $F15 ) ) ) + IF( Time!AU28 &lt; 1 + $F15, 0, OFFSET( AU17, 0, - 1 * ( $F15 ) ) )</f>
        <v>5612.3102415468647</v>
      </c>
      <c r="AV18" s="3">
        <f ca="1" xml:space="preserve">  IF( Time!AV28 &lt; 1 + $F15, 0, OFFSET( AV16, 0, - 1 * ( $F15 ) ) ) + IF( Time!AV28 &lt; 1 + $F15, 0, OFFSET( AV17, 0, - 1 * ( $F15 ) ) )</f>
        <v>5946.035575013605</v>
      </c>
      <c r="AW18" s="3">
        <f ca="1" xml:space="preserve">  IF( Time!AW28 &lt; 1 + $F15, 0, OFFSET( AW16, 0, - 1 * ( $F15 ) ) ) + IF( Time!AW28 &lt; 1 + $F15, 0, OFFSET( AW17, 0, - 1 * ( $F15 ) ) )</f>
        <v>6299.6052494743653</v>
      </c>
      <c r="AX18" s="3">
        <f ca="1" xml:space="preserve">  IF( Time!AX28 &lt; 1 + $F15, 0, OFFSET( AX16, 0, - 1 * ( $F15 ) ) ) + IF( Time!AX28 &lt; 1 + $F15, 0, OFFSET( AX17, 0, - 1 * ( $F15 ) ) )</f>
        <v>6674.1992708501712</v>
      </c>
      <c r="AY18" s="3">
        <f ca="1" xml:space="preserve">  IF( Time!AY28 &lt; 1 + $F15, 0, OFFSET( AY16, 0, - 1 * ( $F15 ) ) ) + IF( Time!AY28 &lt; 1 + $F15, 0, OFFSET( AY17, 0, - 1 * ( $F15 ) ) )</f>
        <v>7071.0678118654751</v>
      </c>
      <c r="AZ18" s="3">
        <f ca="1" xml:space="preserve">  IF( Time!AZ28 &lt; 1 + $F15, 0, OFFSET( AZ16, 0, - 1 * ( $F15 ) ) ) + IF( Time!AZ28 &lt; 1 + $F15, 0, OFFSET( AZ17, 0, - 1 * ( $F15 ) ) )</f>
        <v>7491.5353843834073</v>
      </c>
      <c r="BA18" s="3">
        <f ca="1" xml:space="preserve">  IF( Time!BA28 &lt; 1 + $F15, 0, OFFSET( BA16, 0, - 1 * ( $F15 ) ) ) + IF( Time!BA28 &lt; 1 + $F15, 0, OFFSET( BA17, 0, - 1 * ( $F15 ) ) )</f>
        <v>7937.0052598409975</v>
      </c>
      <c r="BB18" s="3">
        <f ca="1" xml:space="preserve">  IF( Time!BB28 &lt; 1 + $F15, 0, OFFSET( BB16, 0, - 1 * ( $F15 ) ) ) + IF( Time!BB28 &lt; 1 + $F15, 0, OFFSET( BB17, 0, - 1 * ( $F15 ) ) )</f>
        <v>8408.9641525371462</v>
      </c>
      <c r="BC18" s="3">
        <f ca="1" xml:space="preserve">  IF( Time!BC28 &lt; 1 + $F15, 0, OFFSET( BC16, 0, - 1 * ( $F15 ) ) ) + IF( Time!BC28 &lt; 1 + $F15, 0, OFFSET( BC17, 0, - 1 * ( $F15 ) ) )</f>
        <v>8908.9871814033941</v>
      </c>
      <c r="BD18" s="3">
        <f ca="1" xml:space="preserve">  IF( Time!BD28 &lt; 1 + $F15, 0, OFFSET( BD16, 0, - 1 * ( $F15 ) ) ) + IF( Time!BD28 &lt; 1 + $F15, 0, OFFSET( BD17, 0, - 1 * ( $F15 ) ) )</f>
        <v>9438.7431268169366</v>
      </c>
      <c r="BE18" s="3">
        <f ca="1" xml:space="preserve">  IF( Time!BE28 &lt; 1 + $F15, 0, OFFSET( BE16, 0, - 1 * ( $F15 ) ) ) + IF( Time!BE28 &lt; 1 + $F15, 0, OFFSET( BE17, 0, - 1 * ( $F15 ) ) )</f>
        <v>10000.000000000002</v>
      </c>
      <c r="BF18" s="3">
        <f ca="1" xml:space="preserve">  IF( Time!BF28 &lt; 1 + $F15, 0, OFFSET( BF16, 0, - 1 * ( $F15 ) ) ) + IF( Time!BF28 &lt; 1 + $F15, 0, OFFSET( BF17, 0, - 1 * ( $F15 ) ) )</f>
        <v>11494.630943592954</v>
      </c>
      <c r="BG18" s="3">
        <f ca="1" xml:space="preserve">  IF( Time!BG28 &lt; 1 + $F15, 0, OFFSET( BG16, 0, - 1 * ( $F15 ) ) ) + IF( Time!BG28 &lt; 1 + $F15, 0, OFFSET( BG17, 0, - 1 * ( $F15 ) ) )</f>
        <v>12124.620483093731</v>
      </c>
      <c r="BH18" s="3">
        <f ca="1" xml:space="preserve">  IF( Time!BH28 &lt; 1 + $F15, 0, OFFSET( BH16, 0, - 1 * ( $F15 ) ) ) + IF( Time!BH28 &lt; 1 + $F15, 0, OFFSET( BH17, 0, - 1 * ( $F15 ) ) )</f>
        <v>12792.071150027214</v>
      </c>
      <c r="BI18" s="3">
        <f ca="1" xml:space="preserve">  IF( Time!BI28 &lt; 1 + $F15, 0, OFFSET( BI16, 0, - 1 * ( $F15 ) ) ) + IF( Time!BI28 &lt; 1 + $F15, 0, OFFSET( BI17, 0, - 1 * ( $F15 ) ) )</f>
        <v>13499.210498948736</v>
      </c>
      <c r="BJ18" s="3">
        <f ca="1" xml:space="preserve">  IF( Time!BJ28 &lt; 1 + $F15, 0, OFFSET( BJ16, 0, - 1 * ( $F15 ) ) ) + IF( Time!BJ28 &lt; 1 + $F15, 0, OFFSET( BJ17, 0, - 1 * ( $F15 ) ) )</f>
        <v>16048.39854170035</v>
      </c>
      <c r="BK18" s="3">
        <f ca="1" xml:space="preserve">  IF( Time!BK28 &lt; 1 + $F15, 0, OFFSET( BK16, 0, - 1 * ( $F15 ) ) ) + IF( Time!BK28 &lt; 1 + $F15, 0, OFFSET( BK17, 0, - 1 * ( $F15 ) ) )</f>
        <v>16842.135623730959</v>
      </c>
      <c r="BL18" s="3">
        <f ca="1" xml:space="preserve">  IF( Time!BL28 &lt; 1 + $F15, 0, OFFSET( BL16, 0, - 1 * ( $F15 ) ) ) + IF( Time!BL28 &lt; 1 + $F15, 0, OFFSET( BL17, 0, - 1 * ( $F15 ) ) )</f>
        <v>17683.070768766825</v>
      </c>
      <c r="BM18" s="3">
        <f ca="1" xml:space="preserve">  IF( Time!BM28 &lt; 1 + $F15, 0, OFFSET( BM16, 0, - 1 * ( $F15 ) ) ) + IF( Time!BM28 &lt; 1 + $F15, 0, OFFSET( BM17, 0, - 1 * ( $F15 ) ) )</f>
        <v>20374.010519682004</v>
      </c>
      <c r="BN18" s="3">
        <f ca="1" xml:space="preserve">  IF( Time!BN28 &lt; 1 + $F15, 0, OFFSET( BN16, 0, - 1 * ( $F15 ) ) ) + IF( Time!BN28 &lt; 1 + $F15, 0, OFFSET( BN17, 0, - 1 * ( $F15 ) ) )</f>
        <v>21317.9283050743</v>
      </c>
      <c r="BO18" s="3">
        <f ca="1" xml:space="preserve">  IF( Time!BO28 &lt; 1 + $F15, 0, OFFSET( BO16, 0, - 1 * ( $F15 ) ) ) + IF( Time!BO28 &lt; 1 + $F15, 0, OFFSET( BO17, 0, - 1 * ( $F15 ) ) )</f>
        <v>22317.974362806795</v>
      </c>
      <c r="BP18" s="3">
        <f ca="1" xml:space="preserve">  IF( Time!BP28 &lt; 1 + $F15, 0, OFFSET( BP16, 0, - 1 * ( $F15 ) ) ) + IF( Time!BP28 &lt; 1 + $F15, 0, OFFSET( BP17, 0, - 1 * ( $F15 ) ) )</f>
        <v>23377.486253633881</v>
      </c>
      <c r="BQ18" s="3">
        <f ca="1" xml:space="preserve">  IF( Time!BQ28 &lt; 1 + $F15, 0, OFFSET( BQ16, 0, - 1 * ( $F15 ) ) ) + IF( Time!BQ28 &lt; 1 + $F15, 0, OFFSET( BQ17, 0, - 1 * ( $F15 ) ) )</f>
        <v>24500.000000000011</v>
      </c>
    </row>
    <row r="21" spans="1:69">
      <c r="B21" s="25" t="s">
        <v>245</v>
      </c>
    </row>
    <row r="22" spans="1:69" outlineLevel="1">
      <c r="A22" s="18"/>
      <c r="B22" s="18"/>
      <c r="C22" s="28"/>
      <c r="D22" s="27"/>
      <c r="E22" s="4" t="str">
        <f xml:space="preserve">  InpC!E$31</f>
        <v>Minimum quantity before reorder</v>
      </c>
      <c r="F22" s="4">
        <f xml:space="preserve">  InpC!F$31</f>
        <v>1000</v>
      </c>
      <c r="G22" s="4" t="str">
        <f xml:space="preserve">  InpC!G$31</f>
        <v>Units</v>
      </c>
      <c r="M22" s="2"/>
    </row>
    <row r="23" spans="1:69" outlineLevel="1">
      <c r="A23" s="18"/>
      <c r="B23" s="18"/>
      <c r="C23" s="28"/>
      <c r="D23" s="27"/>
      <c r="E23" s="4" t="str">
        <f xml:space="preserve">  InpC!E$35</f>
        <v>Minimum supplier order quantity</v>
      </c>
      <c r="F23" s="4">
        <f xml:space="preserve">  InpC!F$35</f>
        <v>5000</v>
      </c>
      <c r="G23" s="4" t="str">
        <f xml:space="preserve">  InpC!G$35</f>
        <v>Units</v>
      </c>
      <c r="M23" s="2"/>
    </row>
    <row r="24" spans="1:69" outlineLevel="1">
      <c r="A24" s="18"/>
      <c r="B24" s="18"/>
      <c r="C24" s="28"/>
      <c r="D24" s="27"/>
      <c r="E24" s="4" t="str">
        <f xml:space="preserve">  Customers!E$24</f>
        <v>Customer Orders Awaiting Fullfilment</v>
      </c>
      <c r="F24" s="4">
        <f xml:space="preserve">  Customers!F$24</f>
        <v>0</v>
      </c>
      <c r="G24" s="4" t="str">
        <f xml:space="preserve">  Customers!G$24</f>
        <v>Units</v>
      </c>
      <c r="H24" s="4">
        <f xml:space="preserve">  Customers!H$24</f>
        <v>0</v>
      </c>
      <c r="I24" s="4">
        <f xml:space="preserve">  Customers!I$24</f>
        <v>0</v>
      </c>
      <c r="J24" s="4">
        <f ca="1" xml:space="preserve">  Customers!J$24</f>
        <v>1000</v>
      </c>
      <c r="K24" s="4">
        <f ca="1" xml:space="preserve">  Customers!K$24</f>
        <v>1000</v>
      </c>
      <c r="L24" s="4">
        <f ca="1" xml:space="preserve">  Customers!L$24</f>
        <v>1000</v>
      </c>
      <c r="M24" s="4">
        <f ca="1" xml:space="preserve">  Customers!M$24</f>
        <v>1000</v>
      </c>
      <c r="N24" s="4">
        <f ca="1" xml:space="preserve">  Customers!N$24</f>
        <v>3000</v>
      </c>
      <c r="O24" s="4">
        <f ca="1" xml:space="preserve">  Customers!O$24</f>
        <v>4000</v>
      </c>
      <c r="P24" s="4">
        <f ca="1" xml:space="preserve">  Customers!P$24</f>
        <v>3000</v>
      </c>
      <c r="Q24" s="4">
        <f ca="1" xml:space="preserve">  Customers!Q$24</f>
        <v>5000</v>
      </c>
      <c r="R24" s="4">
        <f ca="1" xml:space="preserve">  Customers!R$24</f>
        <v>7000</v>
      </c>
      <c r="S24" s="4">
        <f ca="1" xml:space="preserve">  Customers!S$24</f>
        <v>12000</v>
      </c>
      <c r="T24" s="4">
        <f ca="1" xml:space="preserve">  Customers!T$24</f>
        <v>7000</v>
      </c>
      <c r="U24" s="4">
        <f ca="1" xml:space="preserve">  Customers!U$24</f>
        <v>12000</v>
      </c>
      <c r="V24" s="4">
        <f ca="1" xml:space="preserve">  Customers!V$24</f>
        <v>7297.3154717964753</v>
      </c>
      <c r="W24" s="4">
        <f ca="1" xml:space="preserve">  Customers!W$24</f>
        <v>5612.3102415468638</v>
      </c>
      <c r="X24" s="4">
        <f ca="1" xml:space="preserve">  Customers!X$24</f>
        <v>8855.6612883569433</v>
      </c>
      <c r="Y24" s="4">
        <f ca="1" xml:space="preserve">  Customers!Y$24</f>
        <v>6299.6052494743653</v>
      </c>
      <c r="Z24" s="4">
        <f ca="1" xml:space="preserve">  Customers!Z$24</f>
        <v>11829.46580868148</v>
      </c>
      <c r="AA24" s="4">
        <f ca="1" xml:space="preserve">  Customers!AA$24</f>
        <v>18900.533620546954</v>
      </c>
      <c r="AB24" s="4">
        <f ca="1" xml:space="preserve">  Customers!AB$24</f>
        <v>26392.069004930359</v>
      </c>
      <c r="AC24" s="4">
        <f ca="1" xml:space="preserve">  Customers!AC$24</f>
        <v>34329.074264771356</v>
      </c>
      <c r="AD24" s="4">
        <f ca="1" xml:space="preserve">  Customers!AD$24</f>
        <v>42738.038417308504</v>
      </c>
      <c r="AE24" s="4">
        <f ca="1" xml:space="preserve">  Customers!AE$24</f>
        <v>51647.025598711902</v>
      </c>
      <c r="AF24" s="4">
        <f ca="1" xml:space="preserve">  Customers!AF$24</f>
        <v>56085.76872552884</v>
      </c>
      <c r="AG24" s="4">
        <f ca="1" xml:space="preserve">  Customers!AG$24</f>
        <v>61085.768725528847</v>
      </c>
      <c r="AH24" s="4">
        <f ca="1" xml:space="preserve">  Customers!AH$24</f>
        <v>67580.399669121805</v>
      </c>
      <c r="AI24" s="4">
        <f ca="1" xml:space="preserve">  Customers!AI$24</f>
        <v>69705.02015221554</v>
      </c>
      <c r="AJ24" s="4">
        <f ca="1" xml:space="preserve">  Customers!AJ$24</f>
        <v>72497.091302242756</v>
      </c>
      <c r="AK24" s="4">
        <f ca="1" xml:space="preserve">  Customers!AK$24</f>
        <v>80996.301801191497</v>
      </c>
      <c r="AL24" s="4">
        <f ca="1" xml:space="preserve">  Customers!AL$24</f>
        <v>87044.700342891854</v>
      </c>
      <c r="AM24" s="4">
        <f ca="1" xml:space="preserve">  Customers!AM$24</f>
        <v>93886.835966622806</v>
      </c>
      <c r="AN24" s="4">
        <f ca="1" xml:space="preserve">  Customers!AN$24</f>
        <v>101569.90673538962</v>
      </c>
      <c r="AO24" s="4">
        <f ca="1" xml:space="preserve">  Customers!AO$24</f>
        <v>111943.91725507163</v>
      </c>
      <c r="AP24" s="4">
        <f ca="1" xml:space="preserve">  Customers!AP$24</f>
        <v>118261.84556014591</v>
      </c>
      <c r="AQ24" s="4">
        <f ca="1" xml:space="preserve">  Customers!AQ$24</f>
        <v>130579.81992295271</v>
      </c>
      <c r="AR24" s="4">
        <f ca="1" xml:space="preserve">  Customers!AR$24</f>
        <v>138957.3061765866</v>
      </c>
      <c r="AS24" s="4">
        <f ca="1" xml:space="preserve">  Customers!AS$24</f>
        <v>148457.3061765866</v>
      </c>
      <c r="AT24" s="4">
        <f ca="1" xml:space="preserve">  Customers!AT$24</f>
        <v>159414.15198838935</v>
      </c>
      <c r="AU24" s="4">
        <f ca="1" xml:space="preserve">  Customers!AU$24</f>
        <v>166914.47217196898</v>
      </c>
      <c r="AV24" s="4">
        <f ca="1" xml:space="preserve">  Customers!AV$24</f>
        <v>176050.04648953566</v>
      </c>
      <c r="AW24" s="4">
        <f ca="1" xml:space="preserve">  Customers!AW$24</f>
        <v>186918.11221196008</v>
      </c>
      <c r="AX24" s="4">
        <f ca="1" xml:space="preserve">  Customers!AX$24</f>
        <v>194621.68863912593</v>
      </c>
      <c r="AY24" s="4">
        <f ca="1" xml:space="preserve">  Customers!AY$24</f>
        <v>209269.92091726681</v>
      </c>
      <c r="AZ24" s="4">
        <f ca="1" xml:space="preserve">  Customers!AZ$24</f>
        <v>220978.44430074553</v>
      </c>
      <c r="BA24" s="4">
        <f ca="1" xml:space="preserve">  Customers!BA$24</f>
        <v>229869.77007396644</v>
      </c>
      <c r="BB24" s="4">
        <f ca="1" xml:space="preserve">  Customers!BB$24</f>
        <v>246073.69442139845</v>
      </c>
      <c r="BC24" s="4">
        <f ca="1" xml:space="preserve">  Customers!BC$24</f>
        <v>259727.73161027511</v>
      </c>
      <c r="BD24" s="4">
        <f ca="1" xml:space="preserve">  Customers!BD$24</f>
        <v>275977.57293167815</v>
      </c>
      <c r="BE24" s="4">
        <f ca="1" xml:space="preserve">  Customers!BE$24</f>
        <v>289977.57293167821</v>
      </c>
      <c r="BF24" s="4">
        <f ca="1" xml:space="preserve">  Customers!BF$24</f>
        <v>306891.26455528376</v>
      </c>
      <c r="BG24" s="4">
        <f ca="1" xml:space="preserve">  Customers!BG$24</f>
        <v>326891.90492244309</v>
      </c>
      <c r="BH24" s="4">
        <f ca="1" xml:space="preserve">  Customers!BH$24</f>
        <v>345163.0535575765</v>
      </c>
      <c r="BI24" s="4">
        <f ca="1" xml:space="preserve">  Customers!BI$24</f>
        <v>366899.18500242539</v>
      </c>
      <c r="BJ24" s="4">
        <f ca="1" xml:space="preserve">  Customers!BJ$24</f>
        <v>387306.33785675722</v>
      </c>
      <c r="BK24" s="4">
        <f ca="1" xml:space="preserve">  Customers!BK$24</f>
        <v>411602.80241303897</v>
      </c>
      <c r="BL24" s="4">
        <f ca="1" xml:space="preserve">  Customers!BL$24</f>
        <v>435019.84917999641</v>
      </c>
      <c r="BM24" s="4">
        <f ca="1" xml:space="preserve">  Customers!BM$24</f>
        <v>462802.5007264383</v>
      </c>
      <c r="BN24" s="4">
        <f ca="1" xml:space="preserve">  Customers!BN$24</f>
        <v>490210.34942130244</v>
      </c>
      <c r="BO24" s="4">
        <f ca="1" xml:space="preserve">  Customers!BO$24</f>
        <v>517518.42379905586</v>
      </c>
      <c r="BP24" s="4">
        <f ca="1" xml:space="preserve">  Customers!BP$24</f>
        <v>550018.10644186195</v>
      </c>
      <c r="BQ24" s="4">
        <f ca="1" xml:space="preserve">  Customers!BQ$24</f>
        <v>583018.10644186207</v>
      </c>
    </row>
    <row r="25" spans="1:69" outlineLevel="1">
      <c r="E25" s="2" t="str">
        <f t="shared" ref="E25:BQ25" si="1" xml:space="preserve">  E$47</f>
        <v>Units on order BEG</v>
      </c>
      <c r="F25" s="2">
        <f t="shared" si="1"/>
        <v>0</v>
      </c>
      <c r="G25" s="2" t="str">
        <f t="shared" si="1"/>
        <v>Units</v>
      </c>
      <c r="H25" s="2">
        <f t="shared" si="1"/>
        <v>0</v>
      </c>
      <c r="I25" s="2">
        <f t="shared" si="1"/>
        <v>0</v>
      </c>
      <c r="J25" s="2">
        <f t="shared" si="1"/>
        <v>5000</v>
      </c>
      <c r="K25" s="2">
        <f t="shared" ca="1" si="1"/>
        <v>5000</v>
      </c>
      <c r="L25" s="2">
        <f t="shared" ca="1" si="1"/>
        <v>0</v>
      </c>
      <c r="M25" s="2">
        <f t="shared" ca="1" si="1"/>
        <v>10000</v>
      </c>
      <c r="N25" s="2">
        <f t="shared" ca="1" si="1"/>
        <v>20000</v>
      </c>
      <c r="O25" s="2">
        <f t="shared" ca="1" si="1"/>
        <v>30000</v>
      </c>
      <c r="P25" s="2">
        <f t="shared" ca="1" si="1"/>
        <v>20000</v>
      </c>
      <c r="Q25" s="2">
        <f t="shared" ca="1" si="1"/>
        <v>30000</v>
      </c>
      <c r="R25" s="2">
        <f t="shared" ca="1" si="1"/>
        <v>30000</v>
      </c>
      <c r="S25" s="2">
        <f t="shared" ca="1" si="1"/>
        <v>40000</v>
      </c>
      <c r="T25" s="2">
        <f t="shared" ca="1" si="1"/>
        <v>30000</v>
      </c>
      <c r="U25" s="2">
        <f t="shared" ca="1" si="1"/>
        <v>30000</v>
      </c>
      <c r="V25" s="2">
        <f t="shared" ca="1" si="1"/>
        <v>20000</v>
      </c>
      <c r="W25" s="2">
        <f t="shared" ca="1" si="1"/>
        <v>10000</v>
      </c>
      <c r="X25" s="2">
        <f t="shared" ca="1" si="1"/>
        <v>10000</v>
      </c>
      <c r="Y25" s="2">
        <f t="shared" ca="1" si="1"/>
        <v>0</v>
      </c>
      <c r="Z25" s="2">
        <f t="shared" ca="1" si="1"/>
        <v>5000</v>
      </c>
      <c r="AA25" s="2">
        <f t="shared" ca="1" si="1"/>
        <v>10000</v>
      </c>
      <c r="AB25" s="2">
        <f t="shared" ca="1" si="1"/>
        <v>15000</v>
      </c>
      <c r="AC25" s="2">
        <f t="shared" ca="1" si="1"/>
        <v>25000</v>
      </c>
      <c r="AD25" s="2">
        <f t="shared" ca="1" si="1"/>
        <v>35000</v>
      </c>
      <c r="AE25" s="2">
        <f t="shared" ca="1" si="1"/>
        <v>40000</v>
      </c>
      <c r="AF25" s="2">
        <f t="shared" ca="1" si="1"/>
        <v>45000</v>
      </c>
      <c r="AG25" s="2">
        <f t="shared" ca="1" si="1"/>
        <v>50000</v>
      </c>
      <c r="AH25" s="2">
        <f t="shared" ca="1" si="1"/>
        <v>55000</v>
      </c>
      <c r="AI25" s="2">
        <f t="shared" ca="1" si="1"/>
        <v>55000</v>
      </c>
      <c r="AJ25" s="2">
        <f t="shared" ca="1" si="1"/>
        <v>60000</v>
      </c>
      <c r="AK25" s="2">
        <f t="shared" ca="1" si="1"/>
        <v>65000</v>
      </c>
      <c r="AL25" s="2">
        <f t="shared" ca="1" si="1"/>
        <v>70000</v>
      </c>
      <c r="AM25" s="2">
        <f t="shared" ca="1" si="1"/>
        <v>75000</v>
      </c>
      <c r="AN25" s="2">
        <f t="shared" ca="1" si="1"/>
        <v>80000</v>
      </c>
      <c r="AO25" s="2">
        <f t="shared" ca="1" si="1"/>
        <v>90000</v>
      </c>
      <c r="AP25" s="2">
        <f t="shared" ca="1" si="1"/>
        <v>95000</v>
      </c>
      <c r="AQ25" s="2">
        <f t="shared" ca="1" si="1"/>
        <v>105000</v>
      </c>
      <c r="AR25" s="2">
        <f t="shared" ca="1" si="1"/>
        <v>115000</v>
      </c>
      <c r="AS25" s="2">
        <f t="shared" ca="1" si="1"/>
        <v>120000</v>
      </c>
      <c r="AT25" s="2">
        <f t="shared" ca="1" si="1"/>
        <v>130000</v>
      </c>
      <c r="AU25" s="2">
        <f t="shared" ca="1" si="1"/>
        <v>140000</v>
      </c>
      <c r="AV25" s="2">
        <f t="shared" ca="1" si="1"/>
        <v>145000</v>
      </c>
      <c r="AW25" s="2">
        <f t="shared" ca="1" si="1"/>
        <v>155000</v>
      </c>
      <c r="AX25" s="2">
        <f t="shared" ca="1" si="1"/>
        <v>160000</v>
      </c>
      <c r="AY25" s="2">
        <f t="shared" ca="1" si="1"/>
        <v>175000</v>
      </c>
      <c r="AZ25" s="2">
        <f t="shared" ca="1" si="1"/>
        <v>185000</v>
      </c>
      <c r="BA25" s="2">
        <f t="shared" ca="1" si="1"/>
        <v>190000</v>
      </c>
      <c r="BB25" s="2">
        <f t="shared" ca="1" si="1"/>
        <v>205000</v>
      </c>
      <c r="BC25" s="2">
        <f t="shared" ca="1" si="1"/>
        <v>215000</v>
      </c>
      <c r="BD25" s="2">
        <f t="shared" ca="1" si="1"/>
        <v>230000</v>
      </c>
      <c r="BE25" s="2">
        <f t="shared" ca="1" si="1"/>
        <v>240000</v>
      </c>
      <c r="BF25" s="2">
        <f t="shared" ca="1" si="1"/>
        <v>255000</v>
      </c>
      <c r="BG25" s="2">
        <f t="shared" ca="1" si="1"/>
        <v>270000</v>
      </c>
      <c r="BH25" s="2">
        <f t="shared" ca="1" si="1"/>
        <v>285000</v>
      </c>
      <c r="BI25" s="2">
        <f t="shared" ca="1" si="1"/>
        <v>305000</v>
      </c>
      <c r="BJ25" s="2">
        <f t="shared" ca="1" si="1"/>
        <v>320000</v>
      </c>
      <c r="BK25" s="2">
        <f t="shared" ca="1" si="1"/>
        <v>340000</v>
      </c>
      <c r="BL25" s="2">
        <f t="shared" ca="1" si="1"/>
        <v>360000</v>
      </c>
      <c r="BM25" s="2">
        <f t="shared" ca="1" si="1"/>
        <v>385000</v>
      </c>
      <c r="BN25" s="2">
        <f t="shared" ca="1" si="1"/>
        <v>405000</v>
      </c>
      <c r="BO25" s="2">
        <f t="shared" ca="1" si="1"/>
        <v>430000</v>
      </c>
      <c r="BP25" s="2">
        <f t="shared" ca="1" si="1"/>
        <v>455000</v>
      </c>
      <c r="BQ25" s="2">
        <f t="shared" ca="1" si="1"/>
        <v>485000</v>
      </c>
    </row>
    <row r="26" spans="1:69" outlineLevel="1">
      <c r="E26" s="47" t="s">
        <v>245</v>
      </c>
      <c r="G26" s="47" t="s">
        <v>123</v>
      </c>
      <c r="H26" s="2">
        <f ca="1" xml:space="preserve"> SUM( J26:BQ26 )</f>
        <v>1590000</v>
      </c>
      <c r="J26" s="2">
        <f t="shared" ref="J26:BQ26" ca="1" si="2" xml:space="preserve">  IF( J24 + $F22 - J25 &gt; 0, FLOOR( ( J24 + $F22 - J25 ) / $F23, 1 ) * $F23, 0 )</f>
        <v>0</v>
      </c>
      <c r="K26" s="2">
        <f t="shared" ca="1" si="2"/>
        <v>0</v>
      </c>
      <c r="L26" s="2">
        <f t="shared" ca="1" si="2"/>
        <v>0</v>
      </c>
      <c r="M26" s="2">
        <f t="shared" ca="1" si="2"/>
        <v>0</v>
      </c>
      <c r="N26" s="2">
        <f t="shared" ca="1" si="2"/>
        <v>0</v>
      </c>
      <c r="O26" s="2">
        <f t="shared" ca="1" si="2"/>
        <v>0</v>
      </c>
      <c r="P26" s="2">
        <f t="shared" ca="1" si="2"/>
        <v>0</v>
      </c>
      <c r="Q26" s="2">
        <f t="shared" ca="1" si="2"/>
        <v>0</v>
      </c>
      <c r="R26" s="2">
        <f t="shared" ca="1" si="2"/>
        <v>0</v>
      </c>
      <c r="S26" s="2">
        <f t="shared" ca="1" si="2"/>
        <v>0</v>
      </c>
      <c r="T26" s="2">
        <f t="shared" ca="1" si="2"/>
        <v>0</v>
      </c>
      <c r="U26" s="2">
        <f t="shared" ca="1" si="2"/>
        <v>0</v>
      </c>
      <c r="V26" s="2">
        <f t="shared" ca="1" si="2"/>
        <v>0</v>
      </c>
      <c r="W26" s="2">
        <f t="shared" ca="1" si="2"/>
        <v>0</v>
      </c>
      <c r="X26" s="2">
        <f t="shared" ca="1" si="2"/>
        <v>0</v>
      </c>
      <c r="Y26" s="2">
        <f t="shared" ca="1" si="2"/>
        <v>5000</v>
      </c>
      <c r="Z26" s="2">
        <f t="shared" ca="1" si="2"/>
        <v>5000</v>
      </c>
      <c r="AA26" s="2">
        <f t="shared" ca="1" si="2"/>
        <v>5000</v>
      </c>
      <c r="AB26" s="2">
        <f t="shared" ca="1" si="2"/>
        <v>10000</v>
      </c>
      <c r="AC26" s="2">
        <f t="shared" ca="1" si="2"/>
        <v>10000</v>
      </c>
      <c r="AD26" s="2">
        <f t="shared" ca="1" si="2"/>
        <v>5000</v>
      </c>
      <c r="AE26" s="2">
        <f t="shared" ca="1" si="2"/>
        <v>10000</v>
      </c>
      <c r="AF26" s="2">
        <f t="shared" ca="1" si="2"/>
        <v>10000</v>
      </c>
      <c r="AG26" s="2">
        <f t="shared" ca="1" si="2"/>
        <v>10000</v>
      </c>
      <c r="AH26" s="2">
        <f t="shared" ca="1" si="2"/>
        <v>10000</v>
      </c>
      <c r="AI26" s="2">
        <f t="shared" ca="1" si="2"/>
        <v>15000</v>
      </c>
      <c r="AJ26" s="2">
        <f t="shared" ca="1" si="2"/>
        <v>10000</v>
      </c>
      <c r="AK26" s="2">
        <f t="shared" ca="1" si="2"/>
        <v>15000</v>
      </c>
      <c r="AL26" s="2">
        <f t="shared" ca="1" si="2"/>
        <v>15000</v>
      </c>
      <c r="AM26" s="2">
        <f t="shared" ca="1" si="2"/>
        <v>15000</v>
      </c>
      <c r="AN26" s="2">
        <f t="shared" ca="1" si="2"/>
        <v>20000</v>
      </c>
      <c r="AO26" s="2">
        <f t="shared" ca="1" si="2"/>
        <v>20000</v>
      </c>
      <c r="AP26" s="2">
        <f t="shared" ca="1" si="2"/>
        <v>20000</v>
      </c>
      <c r="AQ26" s="2">
        <f t="shared" ca="1" si="2"/>
        <v>25000</v>
      </c>
      <c r="AR26" s="2">
        <f t="shared" ca="1" si="2"/>
        <v>20000</v>
      </c>
      <c r="AS26" s="2">
        <f t="shared" ca="1" si="2"/>
        <v>25000</v>
      </c>
      <c r="AT26" s="2">
        <f t="shared" ca="1" si="2"/>
        <v>30000</v>
      </c>
      <c r="AU26" s="2">
        <f t="shared" ca="1" si="2"/>
        <v>25000</v>
      </c>
      <c r="AV26" s="2">
        <f t="shared" ca="1" si="2"/>
        <v>30000</v>
      </c>
      <c r="AW26" s="2">
        <f t="shared" ca="1" si="2"/>
        <v>30000</v>
      </c>
      <c r="AX26" s="2">
        <f t="shared" ca="1" si="2"/>
        <v>35000</v>
      </c>
      <c r="AY26" s="2">
        <f t="shared" ca="1" si="2"/>
        <v>35000</v>
      </c>
      <c r="AZ26" s="2">
        <f t="shared" ca="1" si="2"/>
        <v>35000</v>
      </c>
      <c r="BA26" s="2">
        <f t="shared" ca="1" si="2"/>
        <v>40000</v>
      </c>
      <c r="BB26" s="2">
        <f t="shared" ca="1" si="2"/>
        <v>40000</v>
      </c>
      <c r="BC26" s="2">
        <f t="shared" ca="1" si="2"/>
        <v>45000</v>
      </c>
      <c r="BD26" s="2">
        <f t="shared" ca="1" si="2"/>
        <v>45000</v>
      </c>
      <c r="BE26" s="2">
        <f t="shared" ca="1" si="2"/>
        <v>50000</v>
      </c>
      <c r="BF26" s="2">
        <f t="shared" ca="1" si="2"/>
        <v>50000</v>
      </c>
      <c r="BG26" s="2">
        <f t="shared" ca="1" si="2"/>
        <v>55000</v>
      </c>
      <c r="BH26" s="2">
        <f t="shared" ca="1" si="2"/>
        <v>60000</v>
      </c>
      <c r="BI26" s="2">
        <f t="shared" ca="1" si="2"/>
        <v>60000</v>
      </c>
      <c r="BJ26" s="2">
        <f t="shared" ca="1" si="2"/>
        <v>65000</v>
      </c>
      <c r="BK26" s="2">
        <f t="shared" ca="1" si="2"/>
        <v>70000</v>
      </c>
      <c r="BL26" s="2">
        <f t="shared" ca="1" si="2"/>
        <v>75000</v>
      </c>
      <c r="BM26" s="2">
        <f t="shared" ca="1" si="2"/>
        <v>75000</v>
      </c>
      <c r="BN26" s="2">
        <f t="shared" ca="1" si="2"/>
        <v>85000</v>
      </c>
      <c r="BO26" s="2">
        <f t="shared" ca="1" si="2"/>
        <v>85000</v>
      </c>
      <c r="BP26" s="2">
        <f t="shared" ca="1" si="2"/>
        <v>95000</v>
      </c>
      <c r="BQ26" s="2">
        <f t="shared" ca="1" si="2"/>
        <v>95000</v>
      </c>
    </row>
    <row r="29" spans="1:69">
      <c r="B29" s="25" t="s">
        <v>130</v>
      </c>
    </row>
    <row r="30" spans="1:69" outlineLevel="1">
      <c r="A30" s="18"/>
      <c r="B30" s="18"/>
      <c r="C30" s="28"/>
      <c r="D30" s="27"/>
      <c r="E30" s="4" t="str">
        <f xml:space="preserve">  InpS!E$15</f>
        <v>STF Units ordered</v>
      </c>
      <c r="F30" s="4">
        <f xml:space="preserve">  InpS!F$15</f>
        <v>0</v>
      </c>
      <c r="G30" s="4" t="str">
        <f xml:space="preserve">  InpS!G$15</f>
        <v>GBP</v>
      </c>
      <c r="H30" s="4">
        <f xml:space="preserve">  InpS!H$15</f>
        <v>50000</v>
      </c>
      <c r="I30" s="4">
        <f xml:space="preserve">  InpS!I$15</f>
        <v>0</v>
      </c>
      <c r="J30" s="4">
        <f xml:space="preserve">  InpS!J$15</f>
        <v>0</v>
      </c>
      <c r="K30" s="4">
        <f xml:space="preserve">  InpS!K$15</f>
        <v>0</v>
      </c>
      <c r="L30" s="4">
        <f xml:space="preserve">  InpS!L$15</f>
        <v>10000</v>
      </c>
      <c r="M30" s="4">
        <f xml:space="preserve">  InpS!M$15</f>
        <v>10000</v>
      </c>
      <c r="N30" s="4">
        <f xml:space="preserve">  InpS!N$15</f>
        <v>10000</v>
      </c>
      <c r="O30" s="4">
        <f xml:space="preserve">  InpS!O$15</f>
        <v>0</v>
      </c>
      <c r="P30" s="4">
        <f xml:space="preserve">  InpS!P$15</f>
        <v>10000</v>
      </c>
      <c r="Q30" s="4">
        <f xml:space="preserve">  InpS!Q$15</f>
        <v>0</v>
      </c>
      <c r="R30" s="4">
        <f xml:space="preserve">  InpS!R$15</f>
        <v>10000</v>
      </c>
      <c r="S30" s="4">
        <f xml:space="preserve">  InpS!S$15</f>
        <v>0</v>
      </c>
      <c r="T30" s="4">
        <f xml:space="preserve">  InpS!T$15</f>
        <v>0</v>
      </c>
      <c r="U30" s="4">
        <f xml:space="preserve">  InpS!U$15</f>
        <v>0</v>
      </c>
      <c r="V30" s="4">
        <f xml:space="preserve">  InpS!V$15</f>
        <v>0</v>
      </c>
      <c r="W30" s="4">
        <f xml:space="preserve">  InpS!W$15</f>
        <v>0</v>
      </c>
      <c r="X30" s="4">
        <f xml:space="preserve">  InpS!X$15</f>
        <v>0</v>
      </c>
      <c r="Y30" s="4">
        <f xml:space="preserve">  InpS!Y$15</f>
        <v>0</v>
      </c>
      <c r="Z30" s="4">
        <f xml:space="preserve">  InpS!Z$15</f>
        <v>0</v>
      </c>
      <c r="AA30" s="4">
        <f xml:space="preserve">  InpS!AA$15</f>
        <v>0</v>
      </c>
      <c r="AB30" s="4">
        <f xml:space="preserve">  InpS!AB$15</f>
        <v>0</v>
      </c>
      <c r="AC30" s="4">
        <f xml:space="preserve">  InpS!AC$15</f>
        <v>0</v>
      </c>
      <c r="AD30" s="4">
        <f xml:space="preserve">  InpS!AD$15</f>
        <v>0</v>
      </c>
      <c r="AE30" s="4">
        <f xml:space="preserve">  InpS!AE$15</f>
        <v>0</v>
      </c>
      <c r="AF30" s="4">
        <f xml:space="preserve">  InpS!AF$15</f>
        <v>0</v>
      </c>
      <c r="AG30" s="4">
        <f xml:space="preserve">  InpS!AG$15</f>
        <v>0</v>
      </c>
      <c r="AH30" s="4">
        <f xml:space="preserve">  InpS!AH$15</f>
        <v>0</v>
      </c>
      <c r="AI30" s="4">
        <f xml:space="preserve">  InpS!AI$15</f>
        <v>0</v>
      </c>
      <c r="AJ30" s="4">
        <f xml:space="preserve">  InpS!AJ$15</f>
        <v>0</v>
      </c>
      <c r="AK30" s="4">
        <f xml:space="preserve">  InpS!AK$15</f>
        <v>0</v>
      </c>
      <c r="AL30" s="4">
        <f xml:space="preserve">  InpS!AL$15</f>
        <v>0</v>
      </c>
      <c r="AM30" s="4">
        <f xml:space="preserve">  InpS!AM$15</f>
        <v>0</v>
      </c>
      <c r="AN30" s="4">
        <f xml:space="preserve">  InpS!AN$15</f>
        <v>0</v>
      </c>
      <c r="AO30" s="4">
        <f xml:space="preserve">  InpS!AO$15</f>
        <v>0</v>
      </c>
      <c r="AP30" s="4">
        <f xml:space="preserve">  InpS!AP$15</f>
        <v>0</v>
      </c>
      <c r="AQ30" s="4">
        <f xml:space="preserve">  InpS!AQ$15</f>
        <v>0</v>
      </c>
      <c r="AR30" s="4">
        <f xml:space="preserve">  InpS!AR$15</f>
        <v>0</v>
      </c>
      <c r="AS30" s="4">
        <f xml:space="preserve">  InpS!AS$15</f>
        <v>0</v>
      </c>
      <c r="AT30" s="4">
        <f xml:space="preserve">  InpS!AT$15</f>
        <v>0</v>
      </c>
      <c r="AU30" s="4">
        <f xml:space="preserve">  InpS!AU$15</f>
        <v>0</v>
      </c>
      <c r="AV30" s="4">
        <f xml:space="preserve">  InpS!AV$15</f>
        <v>0</v>
      </c>
      <c r="AW30" s="4">
        <f xml:space="preserve">  InpS!AW$15</f>
        <v>0</v>
      </c>
      <c r="AX30" s="4">
        <f xml:space="preserve">  InpS!AX$15</f>
        <v>0</v>
      </c>
      <c r="AY30" s="4">
        <f xml:space="preserve">  InpS!AY$15</f>
        <v>0</v>
      </c>
      <c r="AZ30" s="4">
        <f xml:space="preserve">  InpS!AZ$15</f>
        <v>0</v>
      </c>
      <c r="BA30" s="4">
        <f xml:space="preserve">  InpS!BA$15</f>
        <v>0</v>
      </c>
      <c r="BB30" s="4">
        <f xml:space="preserve">  InpS!BB$15</f>
        <v>0</v>
      </c>
      <c r="BC30" s="4">
        <f xml:space="preserve">  InpS!BC$15</f>
        <v>0</v>
      </c>
      <c r="BD30" s="4">
        <f xml:space="preserve">  InpS!BD$15</f>
        <v>0</v>
      </c>
      <c r="BE30" s="4">
        <f xml:space="preserve">  InpS!BE$15</f>
        <v>0</v>
      </c>
      <c r="BF30" s="4">
        <f xml:space="preserve">  InpS!BF$15</f>
        <v>0</v>
      </c>
      <c r="BG30" s="4">
        <f xml:space="preserve">  InpS!BG$15</f>
        <v>0</v>
      </c>
      <c r="BH30" s="4">
        <f xml:space="preserve">  InpS!BH$15</f>
        <v>0</v>
      </c>
      <c r="BI30" s="4">
        <f xml:space="preserve">  InpS!BI$15</f>
        <v>0</v>
      </c>
      <c r="BJ30" s="4">
        <f xml:space="preserve">  InpS!BJ$15</f>
        <v>0</v>
      </c>
      <c r="BK30" s="4">
        <f xml:space="preserve">  InpS!BK$15</f>
        <v>0</v>
      </c>
      <c r="BL30" s="4">
        <f xml:space="preserve">  InpS!BL$15</f>
        <v>0</v>
      </c>
      <c r="BM30" s="4">
        <f xml:space="preserve">  InpS!BM$15</f>
        <v>0</v>
      </c>
      <c r="BN30" s="4">
        <f xml:space="preserve">  InpS!BN$15</f>
        <v>0</v>
      </c>
      <c r="BO30" s="4">
        <f xml:space="preserve">  InpS!BO$15</f>
        <v>0</v>
      </c>
      <c r="BP30" s="4">
        <f xml:space="preserve">  InpS!BP$15</f>
        <v>0</v>
      </c>
      <c r="BQ30" s="4">
        <f xml:space="preserve">  InpS!BQ$15</f>
        <v>0</v>
      </c>
    </row>
    <row r="31" spans="1:69" outlineLevel="1">
      <c r="E31" s="2" t="str">
        <f t="shared" ref="E31:BQ31" si="3" xml:space="preserve">  E$26</f>
        <v>Order Quantity</v>
      </c>
      <c r="F31" s="2">
        <f t="shared" si="3"/>
        <v>0</v>
      </c>
      <c r="G31" s="2" t="str">
        <f t="shared" si="3"/>
        <v>Units</v>
      </c>
      <c r="H31" s="2">
        <f t="shared" ca="1" si="3"/>
        <v>1590000</v>
      </c>
      <c r="I31" s="2">
        <f t="shared" si="3"/>
        <v>0</v>
      </c>
      <c r="J31" s="2">
        <f t="shared" ca="1" si="3"/>
        <v>0</v>
      </c>
      <c r="K31" s="2">
        <f t="shared" ca="1" si="3"/>
        <v>0</v>
      </c>
      <c r="L31" s="2">
        <f t="shared" ca="1" si="3"/>
        <v>0</v>
      </c>
      <c r="M31" s="2">
        <f t="shared" ca="1" si="3"/>
        <v>0</v>
      </c>
      <c r="N31" s="2">
        <f t="shared" ca="1" si="3"/>
        <v>0</v>
      </c>
      <c r="O31" s="2">
        <f t="shared" ca="1" si="3"/>
        <v>0</v>
      </c>
      <c r="P31" s="2">
        <f t="shared" ca="1" si="3"/>
        <v>0</v>
      </c>
      <c r="Q31" s="2">
        <f t="shared" ca="1" si="3"/>
        <v>0</v>
      </c>
      <c r="R31" s="2">
        <f t="shared" ca="1" si="3"/>
        <v>0</v>
      </c>
      <c r="S31" s="2">
        <f t="shared" ca="1" si="3"/>
        <v>0</v>
      </c>
      <c r="T31" s="2">
        <f t="shared" ca="1" si="3"/>
        <v>0</v>
      </c>
      <c r="U31" s="2">
        <f t="shared" ca="1" si="3"/>
        <v>0</v>
      </c>
      <c r="V31" s="2">
        <f t="shared" ca="1" si="3"/>
        <v>0</v>
      </c>
      <c r="W31" s="2">
        <f t="shared" ca="1" si="3"/>
        <v>0</v>
      </c>
      <c r="X31" s="2">
        <f t="shared" ca="1" si="3"/>
        <v>0</v>
      </c>
      <c r="Y31" s="2">
        <f t="shared" ca="1" si="3"/>
        <v>5000</v>
      </c>
      <c r="Z31" s="2">
        <f t="shared" ca="1" si="3"/>
        <v>5000</v>
      </c>
      <c r="AA31" s="2">
        <f t="shared" ca="1" si="3"/>
        <v>5000</v>
      </c>
      <c r="AB31" s="2">
        <f t="shared" ca="1" si="3"/>
        <v>10000</v>
      </c>
      <c r="AC31" s="2">
        <f t="shared" ca="1" si="3"/>
        <v>10000</v>
      </c>
      <c r="AD31" s="2">
        <f t="shared" ca="1" si="3"/>
        <v>5000</v>
      </c>
      <c r="AE31" s="2">
        <f t="shared" ca="1" si="3"/>
        <v>10000</v>
      </c>
      <c r="AF31" s="2">
        <f t="shared" ca="1" si="3"/>
        <v>10000</v>
      </c>
      <c r="AG31" s="2">
        <f t="shared" ca="1" si="3"/>
        <v>10000</v>
      </c>
      <c r="AH31" s="2">
        <f t="shared" ca="1" si="3"/>
        <v>10000</v>
      </c>
      <c r="AI31" s="2">
        <f t="shared" ca="1" si="3"/>
        <v>15000</v>
      </c>
      <c r="AJ31" s="2">
        <f t="shared" ca="1" si="3"/>
        <v>10000</v>
      </c>
      <c r="AK31" s="2">
        <f t="shared" ca="1" si="3"/>
        <v>15000</v>
      </c>
      <c r="AL31" s="2">
        <f t="shared" ca="1" si="3"/>
        <v>15000</v>
      </c>
      <c r="AM31" s="2">
        <f t="shared" ca="1" si="3"/>
        <v>15000</v>
      </c>
      <c r="AN31" s="2">
        <f t="shared" ca="1" si="3"/>
        <v>20000</v>
      </c>
      <c r="AO31" s="2">
        <f t="shared" ca="1" si="3"/>
        <v>20000</v>
      </c>
      <c r="AP31" s="2">
        <f t="shared" ca="1" si="3"/>
        <v>20000</v>
      </c>
      <c r="AQ31" s="2">
        <f t="shared" ca="1" si="3"/>
        <v>25000</v>
      </c>
      <c r="AR31" s="2">
        <f t="shared" ca="1" si="3"/>
        <v>20000</v>
      </c>
      <c r="AS31" s="2">
        <f t="shared" ca="1" si="3"/>
        <v>25000</v>
      </c>
      <c r="AT31" s="2">
        <f t="shared" ca="1" si="3"/>
        <v>30000</v>
      </c>
      <c r="AU31" s="2">
        <f t="shared" ca="1" si="3"/>
        <v>25000</v>
      </c>
      <c r="AV31" s="2">
        <f t="shared" ca="1" si="3"/>
        <v>30000</v>
      </c>
      <c r="AW31" s="2">
        <f t="shared" ca="1" si="3"/>
        <v>30000</v>
      </c>
      <c r="AX31" s="2">
        <f t="shared" ca="1" si="3"/>
        <v>35000</v>
      </c>
      <c r="AY31" s="2">
        <f t="shared" ca="1" si="3"/>
        <v>35000</v>
      </c>
      <c r="AZ31" s="2">
        <f t="shared" ca="1" si="3"/>
        <v>35000</v>
      </c>
      <c r="BA31" s="2">
        <f t="shared" ca="1" si="3"/>
        <v>40000</v>
      </c>
      <c r="BB31" s="2">
        <f t="shared" ca="1" si="3"/>
        <v>40000</v>
      </c>
      <c r="BC31" s="2">
        <f t="shared" ca="1" si="3"/>
        <v>45000</v>
      </c>
      <c r="BD31" s="2">
        <f t="shared" ca="1" si="3"/>
        <v>45000</v>
      </c>
      <c r="BE31" s="2">
        <f t="shared" ca="1" si="3"/>
        <v>50000</v>
      </c>
      <c r="BF31" s="2">
        <f t="shared" ca="1" si="3"/>
        <v>50000</v>
      </c>
      <c r="BG31" s="2">
        <f t="shared" ca="1" si="3"/>
        <v>55000</v>
      </c>
      <c r="BH31" s="2">
        <f t="shared" ca="1" si="3"/>
        <v>60000</v>
      </c>
      <c r="BI31" s="2">
        <f t="shared" ca="1" si="3"/>
        <v>60000</v>
      </c>
      <c r="BJ31" s="2">
        <f t="shared" ca="1" si="3"/>
        <v>65000</v>
      </c>
      <c r="BK31" s="2">
        <f t="shared" ca="1" si="3"/>
        <v>70000</v>
      </c>
      <c r="BL31" s="2">
        <f t="shared" ca="1" si="3"/>
        <v>75000</v>
      </c>
      <c r="BM31" s="2">
        <f t="shared" ca="1" si="3"/>
        <v>75000</v>
      </c>
      <c r="BN31" s="2">
        <f t="shared" ca="1" si="3"/>
        <v>85000</v>
      </c>
      <c r="BO31" s="2">
        <f t="shared" ca="1" si="3"/>
        <v>85000</v>
      </c>
      <c r="BP31" s="2">
        <f t="shared" ca="1" si="3"/>
        <v>95000</v>
      </c>
      <c r="BQ31" s="2">
        <f t="shared" ca="1" si="3"/>
        <v>95000</v>
      </c>
    </row>
    <row r="32" spans="1:69" outlineLevel="1">
      <c r="A32" s="18"/>
      <c r="B32" s="18"/>
      <c r="C32" s="28"/>
      <c r="D32" s="27"/>
      <c r="E32" s="4" t="str">
        <f xml:space="preserve">  Time!E$291</f>
        <v>Use short term forecast flag</v>
      </c>
      <c r="F32" s="4">
        <f xml:space="preserve">  Time!F$291</f>
        <v>0</v>
      </c>
      <c r="G32" s="4" t="str">
        <f xml:space="preserve">  Time!G$291</f>
        <v>flag</v>
      </c>
      <c r="H32" s="4">
        <f xml:space="preserve">  Time!H$291</f>
        <v>12</v>
      </c>
      <c r="I32" s="4">
        <f xml:space="preserve">  Time!I$291</f>
        <v>0</v>
      </c>
      <c r="J32" s="4">
        <f xml:space="preserve">  Time!J$291</f>
        <v>1</v>
      </c>
      <c r="K32" s="4">
        <f xml:space="preserve">  Time!K$291</f>
        <v>1</v>
      </c>
      <c r="L32" s="4">
        <f xml:space="preserve">  Time!L$291</f>
        <v>1</v>
      </c>
      <c r="M32" s="4">
        <f xml:space="preserve">  Time!M$291</f>
        <v>1</v>
      </c>
      <c r="N32" s="4">
        <f xml:space="preserve">  Time!N$291</f>
        <v>1</v>
      </c>
      <c r="O32" s="4">
        <f xml:space="preserve">  Time!O$291</f>
        <v>1</v>
      </c>
      <c r="P32" s="4">
        <f xml:space="preserve">  Time!P$291</f>
        <v>1</v>
      </c>
      <c r="Q32" s="4">
        <f xml:space="preserve">  Time!Q$291</f>
        <v>1</v>
      </c>
      <c r="R32" s="4">
        <f xml:space="preserve">  Time!R$291</f>
        <v>1</v>
      </c>
      <c r="S32" s="4">
        <f xml:space="preserve">  Time!S$291</f>
        <v>1</v>
      </c>
      <c r="T32" s="4">
        <f xml:space="preserve">  Time!T$291</f>
        <v>1</v>
      </c>
      <c r="U32" s="4">
        <f xml:space="preserve">  Time!U$291</f>
        <v>1</v>
      </c>
      <c r="V32" s="4">
        <f xml:space="preserve">  Time!V$291</f>
        <v>0</v>
      </c>
      <c r="W32" s="4">
        <f xml:space="preserve">  Time!W$291</f>
        <v>0</v>
      </c>
      <c r="X32" s="4">
        <f xml:space="preserve">  Time!X$291</f>
        <v>0</v>
      </c>
      <c r="Y32" s="4">
        <f xml:space="preserve">  Time!Y$291</f>
        <v>0</v>
      </c>
      <c r="Z32" s="4">
        <f xml:space="preserve">  Time!Z$291</f>
        <v>0</v>
      </c>
      <c r="AA32" s="4">
        <f xml:space="preserve">  Time!AA$291</f>
        <v>0</v>
      </c>
      <c r="AB32" s="4">
        <f xml:space="preserve">  Time!AB$291</f>
        <v>0</v>
      </c>
      <c r="AC32" s="4">
        <f xml:space="preserve">  Time!AC$291</f>
        <v>0</v>
      </c>
      <c r="AD32" s="4">
        <f xml:space="preserve">  Time!AD$291</f>
        <v>0</v>
      </c>
      <c r="AE32" s="4">
        <f xml:space="preserve">  Time!AE$291</f>
        <v>0</v>
      </c>
      <c r="AF32" s="4">
        <f xml:space="preserve">  Time!AF$291</f>
        <v>0</v>
      </c>
      <c r="AG32" s="4">
        <f xml:space="preserve">  Time!AG$291</f>
        <v>0</v>
      </c>
      <c r="AH32" s="4">
        <f xml:space="preserve">  Time!AH$291</f>
        <v>0</v>
      </c>
      <c r="AI32" s="4">
        <f xml:space="preserve">  Time!AI$291</f>
        <v>0</v>
      </c>
      <c r="AJ32" s="4">
        <f xml:space="preserve">  Time!AJ$291</f>
        <v>0</v>
      </c>
      <c r="AK32" s="4">
        <f xml:space="preserve">  Time!AK$291</f>
        <v>0</v>
      </c>
      <c r="AL32" s="4">
        <f xml:space="preserve">  Time!AL$291</f>
        <v>0</v>
      </c>
      <c r="AM32" s="4">
        <f xml:space="preserve">  Time!AM$291</f>
        <v>0</v>
      </c>
      <c r="AN32" s="4">
        <f xml:space="preserve">  Time!AN$291</f>
        <v>0</v>
      </c>
      <c r="AO32" s="4">
        <f xml:space="preserve">  Time!AO$291</f>
        <v>0</v>
      </c>
      <c r="AP32" s="4">
        <f xml:space="preserve">  Time!AP$291</f>
        <v>0</v>
      </c>
      <c r="AQ32" s="4">
        <f xml:space="preserve">  Time!AQ$291</f>
        <v>0</v>
      </c>
      <c r="AR32" s="4">
        <f xml:space="preserve">  Time!AR$291</f>
        <v>0</v>
      </c>
      <c r="AS32" s="4">
        <f xml:space="preserve">  Time!AS$291</f>
        <v>0</v>
      </c>
      <c r="AT32" s="4">
        <f xml:space="preserve">  Time!AT$291</f>
        <v>0</v>
      </c>
      <c r="AU32" s="4">
        <f xml:space="preserve">  Time!AU$291</f>
        <v>0</v>
      </c>
      <c r="AV32" s="4">
        <f xml:space="preserve">  Time!AV$291</f>
        <v>0</v>
      </c>
      <c r="AW32" s="4">
        <f xml:space="preserve">  Time!AW$291</f>
        <v>0</v>
      </c>
      <c r="AX32" s="4">
        <f xml:space="preserve">  Time!AX$291</f>
        <v>0</v>
      </c>
      <c r="AY32" s="4">
        <f xml:space="preserve">  Time!AY$291</f>
        <v>0</v>
      </c>
      <c r="AZ32" s="4">
        <f xml:space="preserve">  Time!AZ$291</f>
        <v>0</v>
      </c>
      <c r="BA32" s="4">
        <f xml:space="preserve">  Time!BA$291</f>
        <v>0</v>
      </c>
      <c r="BB32" s="4">
        <f xml:space="preserve">  Time!BB$291</f>
        <v>0</v>
      </c>
      <c r="BC32" s="4">
        <f xml:space="preserve">  Time!BC$291</f>
        <v>0</v>
      </c>
      <c r="BD32" s="4">
        <f xml:space="preserve">  Time!BD$291</f>
        <v>0</v>
      </c>
      <c r="BE32" s="4">
        <f xml:space="preserve">  Time!BE$291</f>
        <v>0</v>
      </c>
      <c r="BF32" s="4">
        <f xml:space="preserve">  Time!BF$291</f>
        <v>0</v>
      </c>
      <c r="BG32" s="4">
        <f xml:space="preserve">  Time!BG$291</f>
        <v>0</v>
      </c>
      <c r="BH32" s="4">
        <f xml:space="preserve">  Time!BH$291</f>
        <v>0</v>
      </c>
      <c r="BI32" s="4">
        <f xml:space="preserve">  Time!BI$291</f>
        <v>0</v>
      </c>
      <c r="BJ32" s="4">
        <f xml:space="preserve">  Time!BJ$291</f>
        <v>0</v>
      </c>
      <c r="BK32" s="4">
        <f xml:space="preserve">  Time!BK$291</f>
        <v>0</v>
      </c>
      <c r="BL32" s="4">
        <f xml:space="preserve">  Time!BL$291</f>
        <v>0</v>
      </c>
      <c r="BM32" s="4">
        <f xml:space="preserve">  Time!BM$291</f>
        <v>0</v>
      </c>
      <c r="BN32" s="4">
        <f xml:space="preserve">  Time!BN$291</f>
        <v>0</v>
      </c>
      <c r="BO32" s="4">
        <f xml:space="preserve">  Time!BO$291</f>
        <v>0</v>
      </c>
      <c r="BP32" s="4">
        <f xml:space="preserve">  Time!BP$291</f>
        <v>0</v>
      </c>
      <c r="BQ32" s="4">
        <f xml:space="preserve">  Time!BQ$291</f>
        <v>0</v>
      </c>
    </row>
    <row r="33" spans="1:69" outlineLevel="1">
      <c r="A33" s="34"/>
      <c r="B33" s="34"/>
      <c r="C33" s="64"/>
      <c r="D33" s="65"/>
      <c r="E33" s="21" t="s">
        <v>130</v>
      </c>
      <c r="F33" s="21"/>
      <c r="G33" s="21" t="s">
        <v>123</v>
      </c>
      <c r="H33" s="3">
        <f ca="1" xml:space="preserve"> SUM( J33:BQ33 )</f>
        <v>1640000</v>
      </c>
      <c r="I33" s="21"/>
      <c r="J33" s="3">
        <f t="shared" ref="J33:BQ33" si="4" xml:space="preserve">  IF( J32 = 1, J30, J31 )</f>
        <v>0</v>
      </c>
      <c r="K33" s="3">
        <f t="shared" si="4"/>
        <v>0</v>
      </c>
      <c r="L33" s="3">
        <f t="shared" si="4"/>
        <v>10000</v>
      </c>
      <c r="M33" s="3">
        <f t="shared" si="4"/>
        <v>10000</v>
      </c>
      <c r="N33" s="3">
        <f t="shared" si="4"/>
        <v>10000</v>
      </c>
      <c r="O33" s="3">
        <f t="shared" si="4"/>
        <v>0</v>
      </c>
      <c r="P33" s="3">
        <f t="shared" si="4"/>
        <v>10000</v>
      </c>
      <c r="Q33" s="3">
        <f t="shared" si="4"/>
        <v>0</v>
      </c>
      <c r="R33" s="3">
        <f t="shared" si="4"/>
        <v>10000</v>
      </c>
      <c r="S33" s="3">
        <f t="shared" si="4"/>
        <v>0</v>
      </c>
      <c r="T33" s="3">
        <f t="shared" si="4"/>
        <v>0</v>
      </c>
      <c r="U33" s="3">
        <f t="shared" si="4"/>
        <v>0</v>
      </c>
      <c r="V33" s="3">
        <f t="shared" ca="1" si="4"/>
        <v>0</v>
      </c>
      <c r="W33" s="3">
        <f t="shared" ca="1" si="4"/>
        <v>0</v>
      </c>
      <c r="X33" s="3">
        <f t="shared" ca="1" si="4"/>
        <v>0</v>
      </c>
      <c r="Y33" s="3">
        <f t="shared" ca="1" si="4"/>
        <v>5000</v>
      </c>
      <c r="Z33" s="3">
        <f t="shared" ca="1" si="4"/>
        <v>5000</v>
      </c>
      <c r="AA33" s="3">
        <f t="shared" ca="1" si="4"/>
        <v>5000</v>
      </c>
      <c r="AB33" s="3">
        <f t="shared" ca="1" si="4"/>
        <v>10000</v>
      </c>
      <c r="AC33" s="3">
        <f t="shared" ca="1" si="4"/>
        <v>10000</v>
      </c>
      <c r="AD33" s="3">
        <f t="shared" ca="1" si="4"/>
        <v>5000</v>
      </c>
      <c r="AE33" s="3">
        <f t="shared" ca="1" si="4"/>
        <v>10000</v>
      </c>
      <c r="AF33" s="3">
        <f t="shared" ca="1" si="4"/>
        <v>10000</v>
      </c>
      <c r="AG33" s="3">
        <f t="shared" ca="1" si="4"/>
        <v>10000</v>
      </c>
      <c r="AH33" s="3">
        <f t="shared" ca="1" si="4"/>
        <v>10000</v>
      </c>
      <c r="AI33" s="3">
        <f t="shared" ca="1" si="4"/>
        <v>15000</v>
      </c>
      <c r="AJ33" s="3">
        <f t="shared" ca="1" si="4"/>
        <v>10000</v>
      </c>
      <c r="AK33" s="3">
        <f t="shared" ca="1" si="4"/>
        <v>15000</v>
      </c>
      <c r="AL33" s="3">
        <f t="shared" ca="1" si="4"/>
        <v>15000</v>
      </c>
      <c r="AM33" s="3">
        <f t="shared" ca="1" si="4"/>
        <v>15000</v>
      </c>
      <c r="AN33" s="3">
        <f t="shared" ca="1" si="4"/>
        <v>20000</v>
      </c>
      <c r="AO33" s="3">
        <f t="shared" ca="1" si="4"/>
        <v>20000</v>
      </c>
      <c r="AP33" s="3">
        <f t="shared" ca="1" si="4"/>
        <v>20000</v>
      </c>
      <c r="AQ33" s="3">
        <f t="shared" ca="1" si="4"/>
        <v>25000</v>
      </c>
      <c r="AR33" s="3">
        <f t="shared" ca="1" si="4"/>
        <v>20000</v>
      </c>
      <c r="AS33" s="3">
        <f t="shared" ca="1" si="4"/>
        <v>25000</v>
      </c>
      <c r="AT33" s="3">
        <f t="shared" ca="1" si="4"/>
        <v>30000</v>
      </c>
      <c r="AU33" s="3">
        <f t="shared" ca="1" si="4"/>
        <v>25000</v>
      </c>
      <c r="AV33" s="3">
        <f t="shared" ca="1" si="4"/>
        <v>30000</v>
      </c>
      <c r="AW33" s="3">
        <f t="shared" ca="1" si="4"/>
        <v>30000</v>
      </c>
      <c r="AX33" s="3">
        <f t="shared" ca="1" si="4"/>
        <v>35000</v>
      </c>
      <c r="AY33" s="3">
        <f t="shared" ca="1" si="4"/>
        <v>35000</v>
      </c>
      <c r="AZ33" s="3">
        <f t="shared" ca="1" si="4"/>
        <v>35000</v>
      </c>
      <c r="BA33" s="3">
        <f t="shared" ca="1" si="4"/>
        <v>40000</v>
      </c>
      <c r="BB33" s="3">
        <f t="shared" ca="1" si="4"/>
        <v>40000</v>
      </c>
      <c r="BC33" s="3">
        <f t="shared" ca="1" si="4"/>
        <v>45000</v>
      </c>
      <c r="BD33" s="3">
        <f t="shared" ca="1" si="4"/>
        <v>45000</v>
      </c>
      <c r="BE33" s="3">
        <f t="shared" ca="1" si="4"/>
        <v>50000</v>
      </c>
      <c r="BF33" s="3">
        <f t="shared" ca="1" si="4"/>
        <v>50000</v>
      </c>
      <c r="BG33" s="3">
        <f t="shared" ca="1" si="4"/>
        <v>55000</v>
      </c>
      <c r="BH33" s="3">
        <f t="shared" ca="1" si="4"/>
        <v>60000</v>
      </c>
      <c r="BI33" s="3">
        <f t="shared" ca="1" si="4"/>
        <v>60000</v>
      </c>
      <c r="BJ33" s="3">
        <f t="shared" ca="1" si="4"/>
        <v>65000</v>
      </c>
      <c r="BK33" s="3">
        <f t="shared" ca="1" si="4"/>
        <v>70000</v>
      </c>
      <c r="BL33" s="3">
        <f t="shared" ca="1" si="4"/>
        <v>75000</v>
      </c>
      <c r="BM33" s="3">
        <f t="shared" ca="1" si="4"/>
        <v>75000</v>
      </c>
      <c r="BN33" s="3">
        <f t="shared" ca="1" si="4"/>
        <v>85000</v>
      </c>
      <c r="BO33" s="3">
        <f t="shared" ca="1" si="4"/>
        <v>85000</v>
      </c>
      <c r="BP33" s="3">
        <f t="shared" ca="1" si="4"/>
        <v>95000</v>
      </c>
      <c r="BQ33" s="3">
        <f t="shared" ca="1" si="4"/>
        <v>95000</v>
      </c>
    </row>
    <row r="36" spans="1:69">
      <c r="B36" s="25" t="s">
        <v>198</v>
      </c>
    </row>
    <row r="37" spans="1:69" outlineLevel="1">
      <c r="A37" s="18"/>
      <c r="B37" s="18"/>
      <c r="C37" s="28"/>
      <c r="D37" s="27"/>
      <c r="E37" s="4" t="str">
        <f xml:space="preserve">  InpC!E$33</f>
        <v>Order lead time (months)</v>
      </c>
      <c r="F37" s="4">
        <f xml:space="preserve">  InpC!F$33</f>
        <v>6</v>
      </c>
      <c r="G37" s="4" t="str">
        <f xml:space="preserve">  InpC!G$33</f>
        <v>Months</v>
      </c>
      <c r="M37" s="2"/>
    </row>
    <row r="38" spans="1:69" outlineLevel="1">
      <c r="A38" s="18"/>
      <c r="B38" s="18"/>
      <c r="C38" s="28"/>
      <c r="D38" s="27"/>
      <c r="E38" s="4" t="str">
        <f xml:space="preserve">  InpS!E$14</f>
        <v>STF Units delivered</v>
      </c>
      <c r="F38" s="4">
        <f xml:space="preserve">  InpS!F$14</f>
        <v>0</v>
      </c>
      <c r="G38" s="4" t="str">
        <f xml:space="preserve">  InpS!G$14</f>
        <v>GBP</v>
      </c>
      <c r="H38" s="4">
        <f xml:space="preserve">  InpS!H$14</f>
        <v>35000</v>
      </c>
      <c r="I38" s="4">
        <f xml:space="preserve">  InpS!I$14</f>
        <v>0</v>
      </c>
      <c r="J38" s="4">
        <f xml:space="preserve">  InpS!J$14</f>
        <v>0</v>
      </c>
      <c r="K38" s="4">
        <f xml:space="preserve">  InpS!K$14</f>
        <v>5000</v>
      </c>
      <c r="L38" s="4">
        <f xml:space="preserve">  InpS!L$14</f>
        <v>0</v>
      </c>
      <c r="M38" s="4">
        <f xml:space="preserve">  InpS!M$14</f>
        <v>0</v>
      </c>
      <c r="N38" s="4">
        <f xml:space="preserve">  InpS!N$14</f>
        <v>0</v>
      </c>
      <c r="O38" s="4">
        <f xml:space="preserve">  InpS!O$14</f>
        <v>10000</v>
      </c>
      <c r="P38" s="4">
        <f xml:space="preserve">  InpS!P$14</f>
        <v>0</v>
      </c>
      <c r="Q38" s="4">
        <f xml:space="preserve">  InpS!Q$14</f>
        <v>0</v>
      </c>
      <c r="R38" s="4">
        <f xml:space="preserve">  InpS!R$14</f>
        <v>0</v>
      </c>
      <c r="S38" s="4">
        <f xml:space="preserve">  InpS!S$14</f>
        <v>10000</v>
      </c>
      <c r="T38" s="4">
        <f xml:space="preserve">  InpS!T$14</f>
        <v>0</v>
      </c>
      <c r="U38" s="4">
        <f xml:space="preserve">  InpS!U$14</f>
        <v>10000</v>
      </c>
      <c r="V38" s="4">
        <f xml:space="preserve">  InpS!V$14</f>
        <v>0</v>
      </c>
      <c r="W38" s="4">
        <f xml:space="preserve">  InpS!W$14</f>
        <v>0</v>
      </c>
      <c r="X38" s="4">
        <f xml:space="preserve">  InpS!X$14</f>
        <v>0</v>
      </c>
      <c r="Y38" s="4">
        <f xml:space="preserve">  InpS!Y$14</f>
        <v>0</v>
      </c>
      <c r="Z38" s="4">
        <f xml:space="preserve">  InpS!Z$14</f>
        <v>0</v>
      </c>
      <c r="AA38" s="4">
        <f xml:space="preserve">  InpS!AA$14</f>
        <v>0</v>
      </c>
      <c r="AB38" s="4">
        <f xml:space="preserve">  InpS!AB$14</f>
        <v>0</v>
      </c>
      <c r="AC38" s="4">
        <f xml:space="preserve">  InpS!AC$14</f>
        <v>0</v>
      </c>
      <c r="AD38" s="4">
        <f xml:space="preserve">  InpS!AD$14</f>
        <v>0</v>
      </c>
      <c r="AE38" s="4">
        <f xml:space="preserve">  InpS!AE$14</f>
        <v>0</v>
      </c>
      <c r="AF38" s="4">
        <f xml:space="preserve">  InpS!AF$14</f>
        <v>0</v>
      </c>
      <c r="AG38" s="4">
        <f xml:space="preserve">  InpS!AG$14</f>
        <v>0</v>
      </c>
      <c r="AH38" s="4">
        <f xml:space="preserve">  InpS!AH$14</f>
        <v>0</v>
      </c>
      <c r="AI38" s="4">
        <f xml:space="preserve">  InpS!AI$14</f>
        <v>0</v>
      </c>
      <c r="AJ38" s="4">
        <f xml:space="preserve">  InpS!AJ$14</f>
        <v>0</v>
      </c>
      <c r="AK38" s="4">
        <f xml:space="preserve">  InpS!AK$14</f>
        <v>0</v>
      </c>
      <c r="AL38" s="4">
        <f xml:space="preserve">  InpS!AL$14</f>
        <v>0</v>
      </c>
      <c r="AM38" s="4">
        <f xml:space="preserve">  InpS!AM$14</f>
        <v>0</v>
      </c>
      <c r="AN38" s="4">
        <f xml:space="preserve">  InpS!AN$14</f>
        <v>0</v>
      </c>
      <c r="AO38" s="4">
        <f xml:space="preserve">  InpS!AO$14</f>
        <v>0</v>
      </c>
      <c r="AP38" s="4">
        <f xml:space="preserve">  InpS!AP$14</f>
        <v>0</v>
      </c>
      <c r="AQ38" s="4">
        <f xml:space="preserve">  InpS!AQ$14</f>
        <v>0</v>
      </c>
      <c r="AR38" s="4">
        <f xml:space="preserve">  InpS!AR$14</f>
        <v>0</v>
      </c>
      <c r="AS38" s="4">
        <f xml:space="preserve">  InpS!AS$14</f>
        <v>0</v>
      </c>
      <c r="AT38" s="4">
        <f xml:space="preserve">  InpS!AT$14</f>
        <v>0</v>
      </c>
      <c r="AU38" s="4">
        <f xml:space="preserve">  InpS!AU$14</f>
        <v>0</v>
      </c>
      <c r="AV38" s="4">
        <f xml:space="preserve">  InpS!AV$14</f>
        <v>0</v>
      </c>
      <c r="AW38" s="4">
        <f xml:space="preserve">  InpS!AW$14</f>
        <v>0</v>
      </c>
      <c r="AX38" s="4">
        <f xml:space="preserve">  InpS!AX$14</f>
        <v>0</v>
      </c>
      <c r="AY38" s="4">
        <f xml:space="preserve">  InpS!AY$14</f>
        <v>0</v>
      </c>
      <c r="AZ38" s="4">
        <f xml:space="preserve">  InpS!AZ$14</f>
        <v>0</v>
      </c>
      <c r="BA38" s="4">
        <f xml:space="preserve">  InpS!BA$14</f>
        <v>0</v>
      </c>
      <c r="BB38" s="4">
        <f xml:space="preserve">  InpS!BB$14</f>
        <v>0</v>
      </c>
      <c r="BC38" s="4">
        <f xml:space="preserve">  InpS!BC$14</f>
        <v>0</v>
      </c>
      <c r="BD38" s="4">
        <f xml:space="preserve">  InpS!BD$14</f>
        <v>0</v>
      </c>
      <c r="BE38" s="4">
        <f xml:space="preserve">  InpS!BE$14</f>
        <v>0</v>
      </c>
      <c r="BF38" s="4">
        <f xml:space="preserve">  InpS!BF$14</f>
        <v>0</v>
      </c>
      <c r="BG38" s="4">
        <f xml:space="preserve">  InpS!BG$14</f>
        <v>0</v>
      </c>
      <c r="BH38" s="4">
        <f xml:space="preserve">  InpS!BH$14</f>
        <v>0</v>
      </c>
      <c r="BI38" s="4">
        <f xml:space="preserve">  InpS!BI$14</f>
        <v>0</v>
      </c>
      <c r="BJ38" s="4">
        <f xml:space="preserve">  InpS!BJ$14</f>
        <v>0</v>
      </c>
      <c r="BK38" s="4">
        <f xml:space="preserve">  InpS!BK$14</f>
        <v>0</v>
      </c>
      <c r="BL38" s="4">
        <f xml:space="preserve">  InpS!BL$14</f>
        <v>0</v>
      </c>
      <c r="BM38" s="4">
        <f xml:space="preserve">  InpS!BM$14</f>
        <v>0</v>
      </c>
      <c r="BN38" s="4">
        <f xml:space="preserve">  InpS!BN$14</f>
        <v>0</v>
      </c>
      <c r="BO38" s="4">
        <f xml:space="preserve">  InpS!BO$14</f>
        <v>0</v>
      </c>
      <c r="BP38" s="4">
        <f xml:space="preserve">  InpS!BP$14</f>
        <v>0</v>
      </c>
      <c r="BQ38" s="4">
        <f xml:space="preserve">  InpS!BQ$14</f>
        <v>0</v>
      </c>
    </row>
    <row r="39" spans="1:69" outlineLevel="1">
      <c r="E39" s="2" t="str">
        <f t="shared" ref="E39:BQ39" si="5" xml:space="preserve">  E$33</f>
        <v>Units ordered</v>
      </c>
      <c r="F39" s="2">
        <f t="shared" si="5"/>
        <v>0</v>
      </c>
      <c r="G39" s="2" t="str">
        <f t="shared" si="5"/>
        <v>Units</v>
      </c>
      <c r="H39" s="2">
        <f t="shared" ca="1" si="5"/>
        <v>1640000</v>
      </c>
      <c r="I39" s="2">
        <f t="shared" si="5"/>
        <v>0</v>
      </c>
      <c r="J39" s="2">
        <f t="shared" si="5"/>
        <v>0</v>
      </c>
      <c r="K39" s="2">
        <f t="shared" si="5"/>
        <v>0</v>
      </c>
      <c r="L39" s="2">
        <f t="shared" si="5"/>
        <v>10000</v>
      </c>
      <c r="M39" s="2">
        <f t="shared" si="5"/>
        <v>10000</v>
      </c>
      <c r="N39" s="2">
        <f t="shared" si="5"/>
        <v>10000</v>
      </c>
      <c r="O39" s="2">
        <f t="shared" si="5"/>
        <v>0</v>
      </c>
      <c r="P39" s="2">
        <f t="shared" si="5"/>
        <v>10000</v>
      </c>
      <c r="Q39" s="2">
        <f t="shared" si="5"/>
        <v>0</v>
      </c>
      <c r="R39" s="2">
        <f t="shared" si="5"/>
        <v>10000</v>
      </c>
      <c r="S39" s="2">
        <f t="shared" si="5"/>
        <v>0</v>
      </c>
      <c r="T39" s="2">
        <f t="shared" si="5"/>
        <v>0</v>
      </c>
      <c r="U39" s="2">
        <f t="shared" si="5"/>
        <v>0</v>
      </c>
      <c r="V39" s="2">
        <f t="shared" ca="1" si="5"/>
        <v>0</v>
      </c>
      <c r="W39" s="2">
        <f t="shared" ca="1" si="5"/>
        <v>0</v>
      </c>
      <c r="X39" s="2">
        <f t="shared" ca="1" si="5"/>
        <v>0</v>
      </c>
      <c r="Y39" s="2">
        <f t="shared" ca="1" si="5"/>
        <v>5000</v>
      </c>
      <c r="Z39" s="2">
        <f t="shared" ca="1" si="5"/>
        <v>5000</v>
      </c>
      <c r="AA39" s="2">
        <f t="shared" ca="1" si="5"/>
        <v>5000</v>
      </c>
      <c r="AB39" s="2">
        <f t="shared" ca="1" si="5"/>
        <v>10000</v>
      </c>
      <c r="AC39" s="2">
        <f t="shared" ca="1" si="5"/>
        <v>10000</v>
      </c>
      <c r="AD39" s="2">
        <f t="shared" ca="1" si="5"/>
        <v>5000</v>
      </c>
      <c r="AE39" s="2">
        <f t="shared" ca="1" si="5"/>
        <v>10000</v>
      </c>
      <c r="AF39" s="2">
        <f t="shared" ca="1" si="5"/>
        <v>10000</v>
      </c>
      <c r="AG39" s="2">
        <f t="shared" ca="1" si="5"/>
        <v>10000</v>
      </c>
      <c r="AH39" s="2">
        <f t="shared" ca="1" si="5"/>
        <v>10000</v>
      </c>
      <c r="AI39" s="2">
        <f t="shared" ca="1" si="5"/>
        <v>15000</v>
      </c>
      <c r="AJ39" s="2">
        <f t="shared" ca="1" si="5"/>
        <v>10000</v>
      </c>
      <c r="AK39" s="2">
        <f t="shared" ca="1" si="5"/>
        <v>15000</v>
      </c>
      <c r="AL39" s="2">
        <f t="shared" ca="1" si="5"/>
        <v>15000</v>
      </c>
      <c r="AM39" s="2">
        <f t="shared" ca="1" si="5"/>
        <v>15000</v>
      </c>
      <c r="AN39" s="2">
        <f t="shared" ca="1" si="5"/>
        <v>20000</v>
      </c>
      <c r="AO39" s="2">
        <f t="shared" ca="1" si="5"/>
        <v>20000</v>
      </c>
      <c r="AP39" s="2">
        <f t="shared" ca="1" si="5"/>
        <v>20000</v>
      </c>
      <c r="AQ39" s="2">
        <f t="shared" ca="1" si="5"/>
        <v>25000</v>
      </c>
      <c r="AR39" s="2">
        <f t="shared" ca="1" si="5"/>
        <v>20000</v>
      </c>
      <c r="AS39" s="2">
        <f t="shared" ca="1" si="5"/>
        <v>25000</v>
      </c>
      <c r="AT39" s="2">
        <f t="shared" ca="1" si="5"/>
        <v>30000</v>
      </c>
      <c r="AU39" s="2">
        <f t="shared" ca="1" si="5"/>
        <v>25000</v>
      </c>
      <c r="AV39" s="2">
        <f t="shared" ca="1" si="5"/>
        <v>30000</v>
      </c>
      <c r="AW39" s="2">
        <f t="shared" ca="1" si="5"/>
        <v>30000</v>
      </c>
      <c r="AX39" s="2">
        <f t="shared" ca="1" si="5"/>
        <v>35000</v>
      </c>
      <c r="AY39" s="2">
        <f t="shared" ca="1" si="5"/>
        <v>35000</v>
      </c>
      <c r="AZ39" s="2">
        <f t="shared" ca="1" si="5"/>
        <v>35000</v>
      </c>
      <c r="BA39" s="2">
        <f t="shared" ca="1" si="5"/>
        <v>40000</v>
      </c>
      <c r="BB39" s="2">
        <f t="shared" ca="1" si="5"/>
        <v>40000</v>
      </c>
      <c r="BC39" s="2">
        <f t="shared" ca="1" si="5"/>
        <v>45000</v>
      </c>
      <c r="BD39" s="2">
        <f t="shared" ca="1" si="5"/>
        <v>45000</v>
      </c>
      <c r="BE39" s="2">
        <f t="shared" ca="1" si="5"/>
        <v>50000</v>
      </c>
      <c r="BF39" s="2">
        <f t="shared" ca="1" si="5"/>
        <v>50000</v>
      </c>
      <c r="BG39" s="2">
        <f t="shared" ca="1" si="5"/>
        <v>55000</v>
      </c>
      <c r="BH39" s="2">
        <f t="shared" ca="1" si="5"/>
        <v>60000</v>
      </c>
      <c r="BI39" s="2">
        <f t="shared" ca="1" si="5"/>
        <v>60000</v>
      </c>
      <c r="BJ39" s="2">
        <f t="shared" ca="1" si="5"/>
        <v>65000</v>
      </c>
      <c r="BK39" s="2">
        <f t="shared" ca="1" si="5"/>
        <v>70000</v>
      </c>
      <c r="BL39" s="2">
        <f t="shared" ca="1" si="5"/>
        <v>75000</v>
      </c>
      <c r="BM39" s="2">
        <f t="shared" ca="1" si="5"/>
        <v>75000</v>
      </c>
      <c r="BN39" s="2">
        <f t="shared" ca="1" si="5"/>
        <v>85000</v>
      </c>
      <c r="BO39" s="2">
        <f t="shared" ca="1" si="5"/>
        <v>85000</v>
      </c>
      <c r="BP39" s="2">
        <f t="shared" ca="1" si="5"/>
        <v>95000</v>
      </c>
      <c r="BQ39" s="2">
        <f t="shared" ca="1" si="5"/>
        <v>95000</v>
      </c>
    </row>
    <row r="40" spans="1:69" outlineLevel="1">
      <c r="A40" s="18"/>
      <c r="B40" s="18"/>
      <c r="C40" s="28"/>
      <c r="D40" s="27"/>
      <c r="E40" s="4" t="str">
        <f xml:space="preserve">  Time!E$291</f>
        <v>Use short term forecast flag</v>
      </c>
      <c r="F40" s="4">
        <f xml:space="preserve">  Time!F$291</f>
        <v>0</v>
      </c>
      <c r="G40" s="4" t="str">
        <f xml:space="preserve">  Time!G$291</f>
        <v>flag</v>
      </c>
      <c r="H40" s="4">
        <f xml:space="preserve">  Time!H$291</f>
        <v>12</v>
      </c>
      <c r="I40" s="4">
        <f xml:space="preserve">  Time!I$291</f>
        <v>0</v>
      </c>
      <c r="J40" s="4">
        <f xml:space="preserve">  Time!J$291</f>
        <v>1</v>
      </c>
      <c r="K40" s="4">
        <f xml:space="preserve">  Time!K$291</f>
        <v>1</v>
      </c>
      <c r="L40" s="4">
        <f xml:space="preserve">  Time!L$291</f>
        <v>1</v>
      </c>
      <c r="M40" s="4">
        <f xml:space="preserve">  Time!M$291</f>
        <v>1</v>
      </c>
      <c r="N40" s="4">
        <f xml:space="preserve">  Time!N$291</f>
        <v>1</v>
      </c>
      <c r="O40" s="4">
        <f xml:space="preserve">  Time!O$291</f>
        <v>1</v>
      </c>
      <c r="P40" s="4">
        <f xml:space="preserve">  Time!P$291</f>
        <v>1</v>
      </c>
      <c r="Q40" s="4">
        <f xml:space="preserve">  Time!Q$291</f>
        <v>1</v>
      </c>
      <c r="R40" s="4">
        <f xml:space="preserve">  Time!R$291</f>
        <v>1</v>
      </c>
      <c r="S40" s="4">
        <f xml:space="preserve">  Time!S$291</f>
        <v>1</v>
      </c>
      <c r="T40" s="4">
        <f xml:space="preserve">  Time!T$291</f>
        <v>1</v>
      </c>
      <c r="U40" s="4">
        <f xml:space="preserve">  Time!U$291</f>
        <v>1</v>
      </c>
      <c r="V40" s="4">
        <f xml:space="preserve">  Time!V$291</f>
        <v>0</v>
      </c>
      <c r="W40" s="4">
        <f xml:space="preserve">  Time!W$291</f>
        <v>0</v>
      </c>
      <c r="X40" s="4">
        <f xml:space="preserve">  Time!X$291</f>
        <v>0</v>
      </c>
      <c r="Y40" s="4">
        <f xml:space="preserve">  Time!Y$291</f>
        <v>0</v>
      </c>
      <c r="Z40" s="4">
        <f xml:space="preserve">  Time!Z$291</f>
        <v>0</v>
      </c>
      <c r="AA40" s="4">
        <f xml:space="preserve">  Time!AA$291</f>
        <v>0</v>
      </c>
      <c r="AB40" s="4">
        <f xml:space="preserve">  Time!AB$291</f>
        <v>0</v>
      </c>
      <c r="AC40" s="4">
        <f xml:space="preserve">  Time!AC$291</f>
        <v>0</v>
      </c>
      <c r="AD40" s="4">
        <f xml:space="preserve">  Time!AD$291</f>
        <v>0</v>
      </c>
      <c r="AE40" s="4">
        <f xml:space="preserve">  Time!AE$291</f>
        <v>0</v>
      </c>
      <c r="AF40" s="4">
        <f xml:space="preserve">  Time!AF$291</f>
        <v>0</v>
      </c>
      <c r="AG40" s="4">
        <f xml:space="preserve">  Time!AG$291</f>
        <v>0</v>
      </c>
      <c r="AH40" s="4">
        <f xml:space="preserve">  Time!AH$291</f>
        <v>0</v>
      </c>
      <c r="AI40" s="4">
        <f xml:space="preserve">  Time!AI$291</f>
        <v>0</v>
      </c>
      <c r="AJ40" s="4">
        <f xml:space="preserve">  Time!AJ$291</f>
        <v>0</v>
      </c>
      <c r="AK40" s="4">
        <f xml:space="preserve">  Time!AK$291</f>
        <v>0</v>
      </c>
      <c r="AL40" s="4">
        <f xml:space="preserve">  Time!AL$291</f>
        <v>0</v>
      </c>
      <c r="AM40" s="4">
        <f xml:space="preserve">  Time!AM$291</f>
        <v>0</v>
      </c>
      <c r="AN40" s="4">
        <f xml:space="preserve">  Time!AN$291</f>
        <v>0</v>
      </c>
      <c r="AO40" s="4">
        <f xml:space="preserve">  Time!AO$291</f>
        <v>0</v>
      </c>
      <c r="AP40" s="4">
        <f xml:space="preserve">  Time!AP$291</f>
        <v>0</v>
      </c>
      <c r="AQ40" s="4">
        <f xml:space="preserve">  Time!AQ$291</f>
        <v>0</v>
      </c>
      <c r="AR40" s="4">
        <f xml:space="preserve">  Time!AR$291</f>
        <v>0</v>
      </c>
      <c r="AS40" s="4">
        <f xml:space="preserve">  Time!AS$291</f>
        <v>0</v>
      </c>
      <c r="AT40" s="4">
        <f xml:space="preserve">  Time!AT$291</f>
        <v>0</v>
      </c>
      <c r="AU40" s="4">
        <f xml:space="preserve">  Time!AU$291</f>
        <v>0</v>
      </c>
      <c r="AV40" s="4">
        <f xml:space="preserve">  Time!AV$291</f>
        <v>0</v>
      </c>
      <c r="AW40" s="4">
        <f xml:space="preserve">  Time!AW$291</f>
        <v>0</v>
      </c>
      <c r="AX40" s="4">
        <f xml:space="preserve">  Time!AX$291</f>
        <v>0</v>
      </c>
      <c r="AY40" s="4">
        <f xml:space="preserve">  Time!AY$291</f>
        <v>0</v>
      </c>
      <c r="AZ40" s="4">
        <f xml:space="preserve">  Time!AZ$291</f>
        <v>0</v>
      </c>
      <c r="BA40" s="4">
        <f xml:space="preserve">  Time!BA$291</f>
        <v>0</v>
      </c>
      <c r="BB40" s="4">
        <f xml:space="preserve">  Time!BB$291</f>
        <v>0</v>
      </c>
      <c r="BC40" s="4">
        <f xml:space="preserve">  Time!BC$291</f>
        <v>0</v>
      </c>
      <c r="BD40" s="4">
        <f xml:space="preserve">  Time!BD$291</f>
        <v>0</v>
      </c>
      <c r="BE40" s="4">
        <f xml:space="preserve">  Time!BE$291</f>
        <v>0</v>
      </c>
      <c r="BF40" s="4">
        <f xml:space="preserve">  Time!BF$291</f>
        <v>0</v>
      </c>
      <c r="BG40" s="4">
        <f xml:space="preserve">  Time!BG$291</f>
        <v>0</v>
      </c>
      <c r="BH40" s="4">
        <f xml:space="preserve">  Time!BH$291</f>
        <v>0</v>
      </c>
      <c r="BI40" s="4">
        <f xml:space="preserve">  Time!BI$291</f>
        <v>0</v>
      </c>
      <c r="BJ40" s="4">
        <f xml:space="preserve">  Time!BJ$291</f>
        <v>0</v>
      </c>
      <c r="BK40" s="4">
        <f xml:space="preserve">  Time!BK$291</f>
        <v>0</v>
      </c>
      <c r="BL40" s="4">
        <f xml:space="preserve">  Time!BL$291</f>
        <v>0</v>
      </c>
      <c r="BM40" s="4">
        <f xml:space="preserve">  Time!BM$291</f>
        <v>0</v>
      </c>
      <c r="BN40" s="4">
        <f xml:space="preserve">  Time!BN$291</f>
        <v>0</v>
      </c>
      <c r="BO40" s="4">
        <f xml:space="preserve">  Time!BO$291</f>
        <v>0</v>
      </c>
      <c r="BP40" s="4">
        <f xml:space="preserve">  Time!BP$291</f>
        <v>0</v>
      </c>
      <c r="BQ40" s="4">
        <f xml:space="preserve">  Time!BQ$291</f>
        <v>0</v>
      </c>
    </row>
    <row r="41" spans="1:69" outlineLevel="1">
      <c r="A41" s="34"/>
      <c r="B41" s="34"/>
      <c r="C41" s="64"/>
      <c r="D41" s="65"/>
      <c r="E41" s="21" t="s">
        <v>198</v>
      </c>
      <c r="F41" s="21"/>
      <c r="G41" s="21" t="s">
        <v>123</v>
      </c>
      <c r="H41" s="3">
        <f ca="1" xml:space="preserve"> SUM( J41:BQ41 )</f>
        <v>1135000</v>
      </c>
      <c r="I41" s="21"/>
      <c r="J41" s="3">
        <f ca="1" xml:space="preserve">  IF( J40 = 1, J38, IF( Time!J28 &lt; 1 + $F37, 0, OFFSET( J39, 0, - 1 * ( $F37 ) ) ) )</f>
        <v>0</v>
      </c>
      <c r="K41" s="3">
        <f ca="1" xml:space="preserve">  IF( K40 = 1, K38, IF( Time!K28 &lt; 1 + $F37, 0, OFFSET( K39, 0, - 1 * ( $F37 ) ) ) )</f>
        <v>5000</v>
      </c>
      <c r="L41" s="3">
        <f ca="1" xml:space="preserve">  IF( L40 = 1, L38, IF( Time!L28 &lt; 1 + $F37, 0, OFFSET( L39, 0, - 1 * ( $F37 ) ) ) )</f>
        <v>0</v>
      </c>
      <c r="M41" s="3">
        <f ca="1" xml:space="preserve">  IF( M40 = 1, M38, IF( Time!M28 &lt; 1 + $F37, 0, OFFSET( M39, 0, - 1 * ( $F37 ) ) ) )</f>
        <v>0</v>
      </c>
      <c r="N41" s="3">
        <f ca="1" xml:space="preserve">  IF( N40 = 1, N38, IF( Time!N28 &lt; 1 + $F37, 0, OFFSET( N39, 0, - 1 * ( $F37 ) ) ) )</f>
        <v>0</v>
      </c>
      <c r="O41" s="3">
        <f ca="1" xml:space="preserve">  IF( O40 = 1, O38, IF( Time!O28 &lt; 1 + $F37, 0, OFFSET( O39, 0, - 1 * ( $F37 ) ) ) )</f>
        <v>10000</v>
      </c>
      <c r="P41" s="3">
        <f ca="1" xml:space="preserve">  IF( P40 = 1, P38, IF( Time!P28 &lt; 1 + $F37, 0, OFFSET( P39, 0, - 1 * ( $F37 ) ) ) )</f>
        <v>0</v>
      </c>
      <c r="Q41" s="3">
        <f ca="1" xml:space="preserve">  IF( Q40 = 1, Q38, IF( Time!Q28 &lt; 1 + $F37, 0, OFFSET( Q39, 0, - 1 * ( $F37 ) ) ) )</f>
        <v>0</v>
      </c>
      <c r="R41" s="3">
        <f ca="1" xml:space="preserve">  IF( R40 = 1, R38, IF( Time!R28 &lt; 1 + $F37, 0, OFFSET( R39, 0, - 1 * ( $F37 ) ) ) )</f>
        <v>0</v>
      </c>
      <c r="S41" s="3">
        <f ca="1" xml:space="preserve">  IF( S40 = 1, S38, IF( Time!S28 &lt; 1 + $F37, 0, OFFSET( S39, 0, - 1 * ( $F37 ) ) ) )</f>
        <v>10000</v>
      </c>
      <c r="T41" s="3">
        <f ca="1" xml:space="preserve">  IF( T40 = 1, T38, IF( Time!T28 &lt; 1 + $F37, 0, OFFSET( T39, 0, - 1 * ( $F37 ) ) ) )</f>
        <v>0</v>
      </c>
      <c r="U41" s="3">
        <f ca="1" xml:space="preserve">  IF( U40 = 1, U38, IF( Time!U28 &lt; 1 + $F37, 0, OFFSET( U39, 0, - 1 * ( $F37 ) ) ) )</f>
        <v>10000</v>
      </c>
      <c r="V41" s="3">
        <f ca="1" xml:space="preserve">  IF( V40 = 1, V38, IF( Time!V28 &lt; 1 + $F37, 0, OFFSET( V39, 0, - 1 * ( $F37 ) ) ) )</f>
        <v>10000</v>
      </c>
      <c r="W41" s="3">
        <f ca="1" xml:space="preserve">  IF( W40 = 1, W38, IF( Time!W28 &lt; 1 + $F37, 0, OFFSET( W39, 0, - 1 * ( $F37 ) ) ) )</f>
        <v>0</v>
      </c>
      <c r="X41" s="3">
        <f ca="1" xml:space="preserve">  IF( X40 = 1, X38, IF( Time!X28 &lt; 1 + $F37, 0, OFFSET( X39, 0, - 1 * ( $F37 ) ) ) )</f>
        <v>10000</v>
      </c>
      <c r="Y41" s="3">
        <f ca="1" xml:space="preserve">  IF( Y40 = 1, Y38, IF( Time!Y28 &lt; 1 + $F37, 0, OFFSET( Y39, 0, - 1 * ( $F37 ) ) ) )</f>
        <v>0</v>
      </c>
      <c r="Z41" s="3">
        <f ca="1" xml:space="preserve">  IF( Z40 = 1, Z38, IF( Time!Z28 &lt; 1 + $F37, 0, OFFSET( Z39, 0, - 1 * ( $F37 ) ) ) )</f>
        <v>0</v>
      </c>
      <c r="AA41" s="3">
        <f ca="1" xml:space="preserve">  IF( AA40 = 1, AA38, IF( Time!AA28 &lt; 1 + $F37, 0, OFFSET( AA39, 0, - 1 * ( $F37 ) ) ) )</f>
        <v>0</v>
      </c>
      <c r="AB41" s="3">
        <f ca="1" xml:space="preserve">  IF( AB40 = 1, AB38, IF( Time!AB28 &lt; 1 + $F37, 0, OFFSET( AB39, 0, - 1 * ( $F37 ) ) ) )</f>
        <v>0</v>
      </c>
      <c r="AC41" s="3">
        <f ca="1" xml:space="preserve">  IF( AC40 = 1, AC38, IF( Time!AC28 &lt; 1 + $F37, 0, OFFSET( AC39, 0, - 1 * ( $F37 ) ) ) )</f>
        <v>0</v>
      </c>
      <c r="AD41" s="3">
        <f ca="1" xml:space="preserve">  IF( AD40 = 1, AD38, IF( Time!AD28 &lt; 1 + $F37, 0, OFFSET( AD39, 0, - 1 * ( $F37 ) ) ) )</f>
        <v>0</v>
      </c>
      <c r="AE41" s="3">
        <f ca="1" xml:space="preserve">  IF( AE40 = 1, AE38, IF( Time!AE28 &lt; 1 + $F37, 0, OFFSET( AE39, 0, - 1 * ( $F37 ) ) ) )</f>
        <v>5000</v>
      </c>
      <c r="AF41" s="3">
        <f ca="1" xml:space="preserve">  IF( AF40 = 1, AF38, IF( Time!AF28 &lt; 1 + $F37, 0, OFFSET( AF39, 0, - 1 * ( $F37 ) ) ) )</f>
        <v>5000</v>
      </c>
      <c r="AG41" s="3">
        <f ca="1" xml:space="preserve">  IF( AG40 = 1, AG38, IF( Time!AG28 &lt; 1 + $F37, 0, OFFSET( AG39, 0, - 1 * ( $F37 ) ) ) )</f>
        <v>5000</v>
      </c>
      <c r="AH41" s="3">
        <f ca="1" xml:space="preserve">  IF( AH40 = 1, AH38, IF( Time!AH28 &lt; 1 + $F37, 0, OFFSET( AH39, 0, - 1 * ( $F37 ) ) ) )</f>
        <v>10000</v>
      </c>
      <c r="AI41" s="3">
        <f ca="1" xml:space="preserve">  IF( AI40 = 1, AI38, IF( Time!AI28 &lt; 1 + $F37, 0, OFFSET( AI39, 0, - 1 * ( $F37 ) ) ) )</f>
        <v>10000</v>
      </c>
      <c r="AJ41" s="3">
        <f ca="1" xml:space="preserve">  IF( AJ40 = 1, AJ38, IF( Time!AJ28 &lt; 1 + $F37, 0, OFFSET( AJ39, 0, - 1 * ( $F37 ) ) ) )</f>
        <v>5000</v>
      </c>
      <c r="AK41" s="3">
        <f ca="1" xml:space="preserve">  IF( AK40 = 1, AK38, IF( Time!AK28 &lt; 1 + $F37, 0, OFFSET( AK39, 0, - 1 * ( $F37 ) ) ) )</f>
        <v>10000</v>
      </c>
      <c r="AL41" s="3">
        <f ca="1" xml:space="preserve">  IF( AL40 = 1, AL38, IF( Time!AL28 &lt; 1 + $F37, 0, OFFSET( AL39, 0, - 1 * ( $F37 ) ) ) )</f>
        <v>10000</v>
      </c>
      <c r="AM41" s="3">
        <f ca="1" xml:space="preserve">  IF( AM40 = 1, AM38, IF( Time!AM28 &lt; 1 + $F37, 0, OFFSET( AM39, 0, - 1 * ( $F37 ) ) ) )</f>
        <v>10000</v>
      </c>
      <c r="AN41" s="3">
        <f ca="1" xml:space="preserve">  IF( AN40 = 1, AN38, IF( Time!AN28 &lt; 1 + $F37, 0, OFFSET( AN39, 0, - 1 * ( $F37 ) ) ) )</f>
        <v>10000</v>
      </c>
      <c r="AO41" s="3">
        <f ca="1" xml:space="preserve">  IF( AO40 = 1, AO38, IF( Time!AO28 &lt; 1 + $F37, 0, OFFSET( AO39, 0, - 1 * ( $F37 ) ) ) )</f>
        <v>15000</v>
      </c>
      <c r="AP41" s="3">
        <f ca="1" xml:space="preserve">  IF( AP40 = 1, AP38, IF( Time!AP28 &lt; 1 + $F37, 0, OFFSET( AP39, 0, - 1 * ( $F37 ) ) ) )</f>
        <v>10000</v>
      </c>
      <c r="AQ41" s="3">
        <f ca="1" xml:space="preserve">  IF( AQ40 = 1, AQ38, IF( Time!AQ28 &lt; 1 + $F37, 0, OFFSET( AQ39, 0, - 1 * ( $F37 ) ) ) )</f>
        <v>15000</v>
      </c>
      <c r="AR41" s="3">
        <f ca="1" xml:space="preserve">  IF( AR40 = 1, AR38, IF( Time!AR28 &lt; 1 + $F37, 0, OFFSET( AR39, 0, - 1 * ( $F37 ) ) ) )</f>
        <v>15000</v>
      </c>
      <c r="AS41" s="3">
        <f ca="1" xml:space="preserve">  IF( AS40 = 1, AS38, IF( Time!AS28 &lt; 1 + $F37, 0, OFFSET( AS39, 0, - 1 * ( $F37 ) ) ) )</f>
        <v>15000</v>
      </c>
      <c r="AT41" s="3">
        <f ca="1" xml:space="preserve">  IF( AT40 = 1, AT38, IF( Time!AT28 &lt; 1 + $F37, 0, OFFSET( AT39, 0, - 1 * ( $F37 ) ) ) )</f>
        <v>20000</v>
      </c>
      <c r="AU41" s="3">
        <f ca="1" xml:space="preserve">  IF( AU40 = 1, AU38, IF( Time!AU28 &lt; 1 + $F37, 0, OFFSET( AU39, 0, - 1 * ( $F37 ) ) ) )</f>
        <v>20000</v>
      </c>
      <c r="AV41" s="3">
        <f ca="1" xml:space="preserve">  IF( AV40 = 1, AV38, IF( Time!AV28 &lt; 1 + $F37, 0, OFFSET( AV39, 0, - 1 * ( $F37 ) ) ) )</f>
        <v>20000</v>
      </c>
      <c r="AW41" s="3">
        <f ca="1" xml:space="preserve">  IF( AW40 = 1, AW38, IF( Time!AW28 &lt; 1 + $F37, 0, OFFSET( AW39, 0, - 1 * ( $F37 ) ) ) )</f>
        <v>25000</v>
      </c>
      <c r="AX41" s="3">
        <f ca="1" xml:space="preserve">  IF( AX40 = 1, AX38, IF( Time!AX28 &lt; 1 + $F37, 0, OFFSET( AX39, 0, - 1 * ( $F37 ) ) ) )</f>
        <v>20000</v>
      </c>
      <c r="AY41" s="3">
        <f ca="1" xml:space="preserve">  IF( AY40 = 1, AY38, IF( Time!AY28 &lt; 1 + $F37, 0, OFFSET( AY39, 0, - 1 * ( $F37 ) ) ) )</f>
        <v>25000</v>
      </c>
      <c r="AZ41" s="3">
        <f ca="1" xml:space="preserve">  IF( AZ40 = 1, AZ38, IF( Time!AZ28 &lt; 1 + $F37, 0, OFFSET( AZ39, 0, - 1 * ( $F37 ) ) ) )</f>
        <v>30000</v>
      </c>
      <c r="BA41" s="3">
        <f ca="1" xml:space="preserve">  IF( BA40 = 1, BA38, IF( Time!BA28 &lt; 1 + $F37, 0, OFFSET( BA39, 0, - 1 * ( $F37 ) ) ) )</f>
        <v>25000</v>
      </c>
      <c r="BB41" s="3">
        <f ca="1" xml:space="preserve">  IF( BB40 = 1, BB38, IF( Time!BB28 &lt; 1 + $F37, 0, OFFSET( BB39, 0, - 1 * ( $F37 ) ) ) )</f>
        <v>30000</v>
      </c>
      <c r="BC41" s="3">
        <f ca="1" xml:space="preserve">  IF( BC40 = 1, BC38, IF( Time!BC28 &lt; 1 + $F37, 0, OFFSET( BC39, 0, - 1 * ( $F37 ) ) ) )</f>
        <v>30000</v>
      </c>
      <c r="BD41" s="3">
        <f ca="1" xml:space="preserve">  IF( BD40 = 1, BD38, IF( Time!BD28 &lt; 1 + $F37, 0, OFFSET( BD39, 0, - 1 * ( $F37 ) ) ) )</f>
        <v>35000</v>
      </c>
      <c r="BE41" s="3">
        <f ca="1" xml:space="preserve">  IF( BE40 = 1, BE38, IF( Time!BE28 &lt; 1 + $F37, 0, OFFSET( BE39, 0, - 1 * ( $F37 ) ) ) )</f>
        <v>35000</v>
      </c>
      <c r="BF41" s="3">
        <f ca="1" xml:space="preserve">  IF( BF40 = 1, BF38, IF( Time!BF28 &lt; 1 + $F37, 0, OFFSET( BF39, 0, - 1 * ( $F37 ) ) ) )</f>
        <v>35000</v>
      </c>
      <c r="BG41" s="3">
        <f ca="1" xml:space="preserve">  IF( BG40 = 1, BG38, IF( Time!BG28 &lt; 1 + $F37, 0, OFFSET( BG39, 0, - 1 * ( $F37 ) ) ) )</f>
        <v>40000</v>
      </c>
      <c r="BH41" s="3">
        <f ca="1" xml:space="preserve">  IF( BH40 = 1, BH38, IF( Time!BH28 &lt; 1 + $F37, 0, OFFSET( BH39, 0, - 1 * ( $F37 ) ) ) )</f>
        <v>40000</v>
      </c>
      <c r="BI41" s="3">
        <f ca="1" xml:space="preserve">  IF( BI40 = 1, BI38, IF( Time!BI28 &lt; 1 + $F37, 0, OFFSET( BI39, 0, - 1 * ( $F37 ) ) ) )</f>
        <v>45000</v>
      </c>
      <c r="BJ41" s="3">
        <f ca="1" xml:space="preserve">  IF( BJ40 = 1, BJ38, IF( Time!BJ28 &lt; 1 + $F37, 0, OFFSET( BJ39, 0, - 1 * ( $F37 ) ) ) )</f>
        <v>45000</v>
      </c>
      <c r="BK41" s="3">
        <f ca="1" xml:space="preserve">  IF( BK40 = 1, BK38, IF( Time!BK28 &lt; 1 + $F37, 0, OFFSET( BK39, 0, - 1 * ( $F37 ) ) ) )</f>
        <v>50000</v>
      </c>
      <c r="BL41" s="3">
        <f ca="1" xml:space="preserve">  IF( BL40 = 1, BL38, IF( Time!BL28 &lt; 1 + $F37, 0, OFFSET( BL39, 0, - 1 * ( $F37 ) ) ) )</f>
        <v>50000</v>
      </c>
      <c r="BM41" s="3">
        <f ca="1" xml:space="preserve">  IF( BM40 = 1, BM38, IF( Time!BM28 &lt; 1 + $F37, 0, OFFSET( BM39, 0, - 1 * ( $F37 ) ) ) )</f>
        <v>55000</v>
      </c>
      <c r="BN41" s="3">
        <f ca="1" xml:space="preserve">  IF( BN40 = 1, BN38, IF( Time!BN28 &lt; 1 + $F37, 0, OFFSET( BN39, 0, - 1 * ( $F37 ) ) ) )</f>
        <v>60000</v>
      </c>
      <c r="BO41" s="3">
        <f ca="1" xml:space="preserve">  IF( BO40 = 1, BO38, IF( Time!BO28 &lt; 1 + $F37, 0, OFFSET( BO39, 0, - 1 * ( $F37 ) ) ) )</f>
        <v>60000</v>
      </c>
      <c r="BP41" s="3">
        <f ca="1" xml:space="preserve">  IF( BP40 = 1, BP38, IF( Time!BP28 &lt; 1 + $F37, 0, OFFSET( BP39, 0, - 1 * ( $F37 ) ) ) )</f>
        <v>65000</v>
      </c>
      <c r="BQ41" s="3">
        <f ca="1" xml:space="preserve">  IF( BQ40 = 1, BQ38, IF( Time!BQ28 &lt; 1 + $F37, 0, OFFSET( BQ39, 0, - 1 * ( $F37 ) ) ) )</f>
        <v>70000</v>
      </c>
    </row>
    <row r="44" spans="1:69">
      <c r="B44" s="25" t="s">
        <v>174</v>
      </c>
    </row>
    <row r="45" spans="1:69" s="82" customFormat="1">
      <c r="A45" s="59"/>
      <c r="B45" s="59"/>
      <c r="C45" s="87"/>
      <c r="D45" s="84"/>
      <c r="E45" s="40" t="str">
        <f xml:space="preserve">  InpC!E$40</f>
        <v>Opening Units on order</v>
      </c>
      <c r="F45" s="40">
        <f xml:space="preserve">  InpC!F$40</f>
        <v>5000</v>
      </c>
      <c r="G45" s="40" t="str">
        <f xml:space="preserve">  InpC!G$40</f>
        <v>Units</v>
      </c>
      <c r="M45" s="80"/>
    </row>
    <row r="46" spans="1:69">
      <c r="A46" s="18"/>
      <c r="B46" s="18"/>
      <c r="C46" s="28"/>
      <c r="D46" s="27"/>
      <c r="E46" s="9" t="str">
        <f xml:space="preserve">  Time!E$28</f>
        <v>Period number</v>
      </c>
      <c r="F46" s="9">
        <f xml:space="preserve">  Time!F$28</f>
        <v>0</v>
      </c>
      <c r="G46" s="9" t="str">
        <f xml:space="preserve">  Time!G$28</f>
        <v>Counter</v>
      </c>
      <c r="H46" s="9">
        <f xml:space="preserve">  Time!H$28</f>
        <v>0</v>
      </c>
      <c r="I46" s="9">
        <f xml:space="preserve">  Time!I$28</f>
        <v>0</v>
      </c>
      <c r="J46" s="9">
        <f xml:space="preserve">  Time!J$28</f>
        <v>1</v>
      </c>
      <c r="K46" s="9">
        <f xml:space="preserve">  Time!K$28</f>
        <v>2</v>
      </c>
      <c r="L46" s="9">
        <f xml:space="preserve">  Time!L$28</f>
        <v>3</v>
      </c>
      <c r="M46" s="9">
        <f xml:space="preserve">  Time!M$28</f>
        <v>4</v>
      </c>
      <c r="N46" s="9">
        <f xml:space="preserve">  Time!N$28</f>
        <v>5</v>
      </c>
      <c r="O46" s="9">
        <f xml:space="preserve">  Time!O$28</f>
        <v>6</v>
      </c>
      <c r="P46" s="9">
        <f xml:space="preserve">  Time!P$28</f>
        <v>7</v>
      </c>
      <c r="Q46" s="9">
        <f xml:space="preserve">  Time!Q$28</f>
        <v>8</v>
      </c>
      <c r="R46" s="9">
        <f xml:space="preserve">  Time!R$28</f>
        <v>9</v>
      </c>
      <c r="S46" s="9">
        <f xml:space="preserve">  Time!S$28</f>
        <v>10</v>
      </c>
      <c r="T46" s="9">
        <f xml:space="preserve">  Time!T$28</f>
        <v>11</v>
      </c>
      <c r="U46" s="9">
        <f xml:space="preserve">  Time!U$28</f>
        <v>12</v>
      </c>
      <c r="V46" s="9">
        <f xml:space="preserve">  Time!V$28</f>
        <v>13</v>
      </c>
      <c r="W46" s="9">
        <f xml:space="preserve">  Time!W$28</f>
        <v>14</v>
      </c>
      <c r="X46" s="9">
        <f xml:space="preserve">  Time!X$28</f>
        <v>15</v>
      </c>
      <c r="Y46" s="9">
        <f xml:space="preserve">  Time!Y$28</f>
        <v>16</v>
      </c>
      <c r="Z46" s="9">
        <f xml:space="preserve">  Time!Z$28</f>
        <v>17</v>
      </c>
      <c r="AA46" s="9">
        <f xml:space="preserve">  Time!AA$28</f>
        <v>18</v>
      </c>
      <c r="AB46" s="9">
        <f xml:space="preserve">  Time!AB$28</f>
        <v>19</v>
      </c>
      <c r="AC46" s="9">
        <f xml:space="preserve">  Time!AC$28</f>
        <v>20</v>
      </c>
      <c r="AD46" s="9">
        <f xml:space="preserve">  Time!AD$28</f>
        <v>21</v>
      </c>
      <c r="AE46" s="9">
        <f xml:space="preserve">  Time!AE$28</f>
        <v>22</v>
      </c>
      <c r="AF46" s="9">
        <f xml:space="preserve">  Time!AF$28</f>
        <v>23</v>
      </c>
      <c r="AG46" s="9">
        <f xml:space="preserve">  Time!AG$28</f>
        <v>24</v>
      </c>
      <c r="AH46" s="9">
        <f xml:space="preserve">  Time!AH$28</f>
        <v>25</v>
      </c>
      <c r="AI46" s="9">
        <f xml:space="preserve">  Time!AI$28</f>
        <v>26</v>
      </c>
      <c r="AJ46" s="9">
        <f xml:space="preserve">  Time!AJ$28</f>
        <v>27</v>
      </c>
      <c r="AK46" s="9">
        <f xml:space="preserve">  Time!AK$28</f>
        <v>28</v>
      </c>
      <c r="AL46" s="9">
        <f xml:space="preserve">  Time!AL$28</f>
        <v>29</v>
      </c>
      <c r="AM46" s="9">
        <f xml:space="preserve">  Time!AM$28</f>
        <v>30</v>
      </c>
      <c r="AN46" s="9">
        <f xml:space="preserve">  Time!AN$28</f>
        <v>31</v>
      </c>
      <c r="AO46" s="9">
        <f xml:space="preserve">  Time!AO$28</f>
        <v>32</v>
      </c>
      <c r="AP46" s="9">
        <f xml:space="preserve">  Time!AP$28</f>
        <v>33</v>
      </c>
      <c r="AQ46" s="9">
        <f xml:space="preserve">  Time!AQ$28</f>
        <v>34</v>
      </c>
      <c r="AR46" s="9">
        <f xml:space="preserve">  Time!AR$28</f>
        <v>35</v>
      </c>
      <c r="AS46" s="9">
        <f xml:space="preserve">  Time!AS$28</f>
        <v>36</v>
      </c>
      <c r="AT46" s="9">
        <f xml:space="preserve">  Time!AT$28</f>
        <v>37</v>
      </c>
      <c r="AU46" s="9">
        <f xml:space="preserve">  Time!AU$28</f>
        <v>38</v>
      </c>
      <c r="AV46" s="9">
        <f xml:space="preserve">  Time!AV$28</f>
        <v>39</v>
      </c>
      <c r="AW46" s="9">
        <f xml:space="preserve">  Time!AW$28</f>
        <v>40</v>
      </c>
      <c r="AX46" s="9">
        <f xml:space="preserve">  Time!AX$28</f>
        <v>41</v>
      </c>
      <c r="AY46" s="9">
        <f xml:space="preserve">  Time!AY$28</f>
        <v>42</v>
      </c>
      <c r="AZ46" s="9">
        <f xml:space="preserve">  Time!AZ$28</f>
        <v>43</v>
      </c>
      <c r="BA46" s="9">
        <f xml:space="preserve">  Time!BA$28</f>
        <v>44</v>
      </c>
      <c r="BB46" s="9">
        <f xml:space="preserve">  Time!BB$28</f>
        <v>45</v>
      </c>
      <c r="BC46" s="9">
        <f xml:space="preserve">  Time!BC$28</f>
        <v>46</v>
      </c>
      <c r="BD46" s="9">
        <f xml:space="preserve">  Time!BD$28</f>
        <v>47</v>
      </c>
      <c r="BE46" s="9">
        <f xml:space="preserve">  Time!BE$28</f>
        <v>48</v>
      </c>
      <c r="BF46" s="9">
        <f xml:space="preserve">  Time!BF$28</f>
        <v>49</v>
      </c>
      <c r="BG46" s="9">
        <f xml:space="preserve">  Time!BG$28</f>
        <v>50</v>
      </c>
      <c r="BH46" s="9">
        <f xml:space="preserve">  Time!BH$28</f>
        <v>51</v>
      </c>
      <c r="BI46" s="9">
        <f xml:space="preserve">  Time!BI$28</f>
        <v>52</v>
      </c>
      <c r="BJ46" s="9">
        <f xml:space="preserve">  Time!BJ$28</f>
        <v>53</v>
      </c>
      <c r="BK46" s="9">
        <f xml:space="preserve">  Time!BK$28</f>
        <v>54</v>
      </c>
      <c r="BL46" s="9">
        <f xml:space="preserve">  Time!BL$28</f>
        <v>55</v>
      </c>
      <c r="BM46" s="9">
        <f xml:space="preserve">  Time!BM$28</f>
        <v>56</v>
      </c>
      <c r="BN46" s="9">
        <f xml:space="preserve">  Time!BN$28</f>
        <v>57</v>
      </c>
      <c r="BO46" s="9">
        <f xml:space="preserve">  Time!BO$28</f>
        <v>58</v>
      </c>
      <c r="BP46" s="9">
        <f xml:space="preserve">  Time!BP$28</f>
        <v>59</v>
      </c>
      <c r="BQ46" s="9">
        <f xml:space="preserve">  Time!BQ$28</f>
        <v>60</v>
      </c>
    </row>
    <row r="47" spans="1:69">
      <c r="E47" s="47" t="s">
        <v>227</v>
      </c>
      <c r="G47" s="47" t="s">
        <v>123</v>
      </c>
      <c r="J47" s="2">
        <f t="shared" ref="J47:BQ47" si="6" xml:space="preserve">  I50</f>
        <v>5000</v>
      </c>
      <c r="K47" s="2">
        <f t="shared" ca="1" si="6"/>
        <v>5000</v>
      </c>
      <c r="L47" s="2">
        <f t="shared" ca="1" si="6"/>
        <v>0</v>
      </c>
      <c r="M47" s="2">
        <f t="shared" ca="1" si="6"/>
        <v>10000</v>
      </c>
      <c r="N47" s="2">
        <f t="shared" ca="1" si="6"/>
        <v>20000</v>
      </c>
      <c r="O47" s="2">
        <f t="shared" ca="1" si="6"/>
        <v>30000</v>
      </c>
      <c r="P47" s="2">
        <f t="shared" ca="1" si="6"/>
        <v>20000</v>
      </c>
      <c r="Q47" s="2">
        <f t="shared" ca="1" si="6"/>
        <v>30000</v>
      </c>
      <c r="R47" s="2">
        <f t="shared" ca="1" si="6"/>
        <v>30000</v>
      </c>
      <c r="S47" s="2">
        <f t="shared" ca="1" si="6"/>
        <v>40000</v>
      </c>
      <c r="T47" s="2">
        <f t="shared" ca="1" si="6"/>
        <v>30000</v>
      </c>
      <c r="U47" s="2">
        <f t="shared" ca="1" si="6"/>
        <v>30000</v>
      </c>
      <c r="V47" s="2">
        <f t="shared" ca="1" si="6"/>
        <v>20000</v>
      </c>
      <c r="W47" s="2">
        <f t="shared" ca="1" si="6"/>
        <v>10000</v>
      </c>
      <c r="X47" s="2">
        <f t="shared" ca="1" si="6"/>
        <v>10000</v>
      </c>
      <c r="Y47" s="2">
        <f t="shared" ca="1" si="6"/>
        <v>0</v>
      </c>
      <c r="Z47" s="2">
        <f t="shared" ca="1" si="6"/>
        <v>5000</v>
      </c>
      <c r="AA47" s="2">
        <f t="shared" ca="1" si="6"/>
        <v>10000</v>
      </c>
      <c r="AB47" s="2">
        <f t="shared" ca="1" si="6"/>
        <v>15000</v>
      </c>
      <c r="AC47" s="2">
        <f t="shared" ca="1" si="6"/>
        <v>25000</v>
      </c>
      <c r="AD47" s="2">
        <f t="shared" ca="1" si="6"/>
        <v>35000</v>
      </c>
      <c r="AE47" s="2">
        <f t="shared" ca="1" si="6"/>
        <v>40000</v>
      </c>
      <c r="AF47" s="2">
        <f t="shared" ca="1" si="6"/>
        <v>45000</v>
      </c>
      <c r="AG47" s="2">
        <f t="shared" ca="1" si="6"/>
        <v>50000</v>
      </c>
      <c r="AH47" s="2">
        <f t="shared" ca="1" si="6"/>
        <v>55000</v>
      </c>
      <c r="AI47" s="2">
        <f t="shared" ca="1" si="6"/>
        <v>55000</v>
      </c>
      <c r="AJ47" s="2">
        <f t="shared" ca="1" si="6"/>
        <v>60000</v>
      </c>
      <c r="AK47" s="2">
        <f t="shared" ca="1" si="6"/>
        <v>65000</v>
      </c>
      <c r="AL47" s="2">
        <f t="shared" ca="1" si="6"/>
        <v>70000</v>
      </c>
      <c r="AM47" s="2">
        <f t="shared" ca="1" si="6"/>
        <v>75000</v>
      </c>
      <c r="AN47" s="2">
        <f t="shared" ca="1" si="6"/>
        <v>80000</v>
      </c>
      <c r="AO47" s="2">
        <f t="shared" ca="1" si="6"/>
        <v>90000</v>
      </c>
      <c r="AP47" s="2">
        <f t="shared" ca="1" si="6"/>
        <v>95000</v>
      </c>
      <c r="AQ47" s="2">
        <f t="shared" ca="1" si="6"/>
        <v>105000</v>
      </c>
      <c r="AR47" s="2">
        <f t="shared" ca="1" si="6"/>
        <v>115000</v>
      </c>
      <c r="AS47" s="2">
        <f t="shared" ca="1" si="6"/>
        <v>120000</v>
      </c>
      <c r="AT47" s="2">
        <f t="shared" ca="1" si="6"/>
        <v>130000</v>
      </c>
      <c r="AU47" s="2">
        <f t="shared" ca="1" si="6"/>
        <v>140000</v>
      </c>
      <c r="AV47" s="2">
        <f t="shared" ca="1" si="6"/>
        <v>145000</v>
      </c>
      <c r="AW47" s="2">
        <f t="shared" ca="1" si="6"/>
        <v>155000</v>
      </c>
      <c r="AX47" s="2">
        <f t="shared" ca="1" si="6"/>
        <v>160000</v>
      </c>
      <c r="AY47" s="2">
        <f t="shared" ca="1" si="6"/>
        <v>175000</v>
      </c>
      <c r="AZ47" s="2">
        <f t="shared" ca="1" si="6"/>
        <v>185000</v>
      </c>
      <c r="BA47" s="2">
        <f t="shared" ca="1" si="6"/>
        <v>190000</v>
      </c>
      <c r="BB47" s="2">
        <f t="shared" ca="1" si="6"/>
        <v>205000</v>
      </c>
      <c r="BC47" s="2">
        <f t="shared" ca="1" si="6"/>
        <v>215000</v>
      </c>
      <c r="BD47" s="2">
        <f t="shared" ca="1" si="6"/>
        <v>230000</v>
      </c>
      <c r="BE47" s="2">
        <f t="shared" ca="1" si="6"/>
        <v>240000</v>
      </c>
      <c r="BF47" s="2">
        <f t="shared" ca="1" si="6"/>
        <v>255000</v>
      </c>
      <c r="BG47" s="2">
        <f t="shared" ca="1" si="6"/>
        <v>270000</v>
      </c>
      <c r="BH47" s="2">
        <f t="shared" ca="1" si="6"/>
        <v>285000</v>
      </c>
      <c r="BI47" s="2">
        <f t="shared" ca="1" si="6"/>
        <v>305000</v>
      </c>
      <c r="BJ47" s="2">
        <f t="shared" ca="1" si="6"/>
        <v>320000</v>
      </c>
      <c r="BK47" s="2">
        <f t="shared" ca="1" si="6"/>
        <v>340000</v>
      </c>
      <c r="BL47" s="2">
        <f t="shared" ca="1" si="6"/>
        <v>360000</v>
      </c>
      <c r="BM47" s="2">
        <f t="shared" ca="1" si="6"/>
        <v>385000</v>
      </c>
      <c r="BN47" s="2">
        <f t="shared" ca="1" si="6"/>
        <v>405000</v>
      </c>
      <c r="BO47" s="2">
        <f t="shared" ca="1" si="6"/>
        <v>430000</v>
      </c>
      <c r="BP47" s="2">
        <f t="shared" ca="1" si="6"/>
        <v>455000</v>
      </c>
      <c r="BQ47" s="2">
        <f t="shared" ca="1" si="6"/>
        <v>485000</v>
      </c>
    </row>
    <row r="48" spans="1:69">
      <c r="D48" s="91" t="s">
        <v>219</v>
      </c>
      <c r="E48" s="2" t="str">
        <f t="shared" ref="E48:BQ48" si="7" xml:space="preserve">  E$33</f>
        <v>Units ordered</v>
      </c>
      <c r="F48" s="2">
        <f t="shared" si="7"/>
        <v>0</v>
      </c>
      <c r="G48" s="2" t="str">
        <f t="shared" si="7"/>
        <v>Units</v>
      </c>
      <c r="H48" s="2">
        <f t="shared" ca="1" si="7"/>
        <v>1640000</v>
      </c>
      <c r="I48" s="2">
        <f t="shared" si="7"/>
        <v>0</v>
      </c>
      <c r="J48" s="2">
        <f t="shared" si="7"/>
        <v>0</v>
      </c>
      <c r="K48" s="2">
        <f t="shared" si="7"/>
        <v>0</v>
      </c>
      <c r="L48" s="2">
        <f t="shared" si="7"/>
        <v>10000</v>
      </c>
      <c r="M48" s="2">
        <f t="shared" si="7"/>
        <v>10000</v>
      </c>
      <c r="N48" s="2">
        <f t="shared" si="7"/>
        <v>10000</v>
      </c>
      <c r="O48" s="2">
        <f t="shared" si="7"/>
        <v>0</v>
      </c>
      <c r="P48" s="2">
        <f t="shared" si="7"/>
        <v>10000</v>
      </c>
      <c r="Q48" s="2">
        <f t="shared" si="7"/>
        <v>0</v>
      </c>
      <c r="R48" s="2">
        <f t="shared" si="7"/>
        <v>10000</v>
      </c>
      <c r="S48" s="2">
        <f t="shared" si="7"/>
        <v>0</v>
      </c>
      <c r="T48" s="2">
        <f t="shared" si="7"/>
        <v>0</v>
      </c>
      <c r="U48" s="2">
        <f t="shared" si="7"/>
        <v>0</v>
      </c>
      <c r="V48" s="2">
        <f t="shared" ca="1" si="7"/>
        <v>0</v>
      </c>
      <c r="W48" s="2">
        <f t="shared" ca="1" si="7"/>
        <v>0</v>
      </c>
      <c r="X48" s="2">
        <f t="shared" ca="1" si="7"/>
        <v>0</v>
      </c>
      <c r="Y48" s="2">
        <f t="shared" ca="1" si="7"/>
        <v>5000</v>
      </c>
      <c r="Z48" s="2">
        <f t="shared" ca="1" si="7"/>
        <v>5000</v>
      </c>
      <c r="AA48" s="2">
        <f t="shared" ca="1" si="7"/>
        <v>5000</v>
      </c>
      <c r="AB48" s="2">
        <f t="shared" ca="1" si="7"/>
        <v>10000</v>
      </c>
      <c r="AC48" s="2">
        <f t="shared" ca="1" si="7"/>
        <v>10000</v>
      </c>
      <c r="AD48" s="2">
        <f t="shared" ca="1" si="7"/>
        <v>5000</v>
      </c>
      <c r="AE48" s="2">
        <f t="shared" ca="1" si="7"/>
        <v>10000</v>
      </c>
      <c r="AF48" s="2">
        <f t="shared" ca="1" si="7"/>
        <v>10000</v>
      </c>
      <c r="AG48" s="2">
        <f t="shared" ca="1" si="7"/>
        <v>10000</v>
      </c>
      <c r="AH48" s="2">
        <f t="shared" ca="1" si="7"/>
        <v>10000</v>
      </c>
      <c r="AI48" s="2">
        <f t="shared" ca="1" si="7"/>
        <v>15000</v>
      </c>
      <c r="AJ48" s="2">
        <f t="shared" ca="1" si="7"/>
        <v>10000</v>
      </c>
      <c r="AK48" s="2">
        <f t="shared" ca="1" si="7"/>
        <v>15000</v>
      </c>
      <c r="AL48" s="2">
        <f t="shared" ca="1" si="7"/>
        <v>15000</v>
      </c>
      <c r="AM48" s="2">
        <f t="shared" ca="1" si="7"/>
        <v>15000</v>
      </c>
      <c r="AN48" s="2">
        <f t="shared" ca="1" si="7"/>
        <v>20000</v>
      </c>
      <c r="AO48" s="2">
        <f t="shared" ca="1" si="7"/>
        <v>20000</v>
      </c>
      <c r="AP48" s="2">
        <f t="shared" ca="1" si="7"/>
        <v>20000</v>
      </c>
      <c r="AQ48" s="2">
        <f t="shared" ca="1" si="7"/>
        <v>25000</v>
      </c>
      <c r="AR48" s="2">
        <f t="shared" ca="1" si="7"/>
        <v>20000</v>
      </c>
      <c r="AS48" s="2">
        <f t="shared" ca="1" si="7"/>
        <v>25000</v>
      </c>
      <c r="AT48" s="2">
        <f t="shared" ca="1" si="7"/>
        <v>30000</v>
      </c>
      <c r="AU48" s="2">
        <f t="shared" ca="1" si="7"/>
        <v>25000</v>
      </c>
      <c r="AV48" s="2">
        <f t="shared" ca="1" si="7"/>
        <v>30000</v>
      </c>
      <c r="AW48" s="2">
        <f t="shared" ca="1" si="7"/>
        <v>30000</v>
      </c>
      <c r="AX48" s="2">
        <f t="shared" ca="1" si="7"/>
        <v>35000</v>
      </c>
      <c r="AY48" s="2">
        <f t="shared" ca="1" si="7"/>
        <v>35000</v>
      </c>
      <c r="AZ48" s="2">
        <f t="shared" ca="1" si="7"/>
        <v>35000</v>
      </c>
      <c r="BA48" s="2">
        <f t="shared" ca="1" si="7"/>
        <v>40000</v>
      </c>
      <c r="BB48" s="2">
        <f t="shared" ca="1" si="7"/>
        <v>40000</v>
      </c>
      <c r="BC48" s="2">
        <f t="shared" ca="1" si="7"/>
        <v>45000</v>
      </c>
      <c r="BD48" s="2">
        <f t="shared" ca="1" si="7"/>
        <v>45000</v>
      </c>
      <c r="BE48" s="2">
        <f t="shared" ca="1" si="7"/>
        <v>50000</v>
      </c>
      <c r="BF48" s="2">
        <f t="shared" ca="1" si="7"/>
        <v>50000</v>
      </c>
      <c r="BG48" s="2">
        <f t="shared" ca="1" si="7"/>
        <v>55000</v>
      </c>
      <c r="BH48" s="2">
        <f t="shared" ca="1" si="7"/>
        <v>60000</v>
      </c>
      <c r="BI48" s="2">
        <f t="shared" ca="1" si="7"/>
        <v>60000</v>
      </c>
      <c r="BJ48" s="2">
        <f t="shared" ca="1" si="7"/>
        <v>65000</v>
      </c>
      <c r="BK48" s="2">
        <f t="shared" ca="1" si="7"/>
        <v>70000</v>
      </c>
      <c r="BL48" s="2">
        <f t="shared" ca="1" si="7"/>
        <v>75000</v>
      </c>
      <c r="BM48" s="2">
        <f t="shared" ca="1" si="7"/>
        <v>75000</v>
      </c>
      <c r="BN48" s="2">
        <f t="shared" ca="1" si="7"/>
        <v>85000</v>
      </c>
      <c r="BO48" s="2">
        <f t="shared" ca="1" si="7"/>
        <v>85000</v>
      </c>
      <c r="BP48" s="2">
        <f t="shared" ca="1" si="7"/>
        <v>95000</v>
      </c>
      <c r="BQ48" s="2">
        <f t="shared" ca="1" si="7"/>
        <v>95000</v>
      </c>
    </row>
    <row r="49" spans="1:69">
      <c r="D49" s="91" t="s">
        <v>300</v>
      </c>
      <c r="E49" s="2" t="str">
        <f t="shared" ref="E49:BQ49" si="8" xml:space="preserve">  E$41</f>
        <v>Units delivered</v>
      </c>
      <c r="F49" s="2">
        <f t="shared" si="8"/>
        <v>0</v>
      </c>
      <c r="G49" s="2" t="str">
        <f t="shared" si="8"/>
        <v>Units</v>
      </c>
      <c r="H49" s="2">
        <f t="shared" ca="1" si="8"/>
        <v>1135000</v>
      </c>
      <c r="I49" s="2">
        <f t="shared" si="8"/>
        <v>0</v>
      </c>
      <c r="J49" s="2">
        <f t="shared" ca="1" si="8"/>
        <v>0</v>
      </c>
      <c r="K49" s="2">
        <f t="shared" ca="1" si="8"/>
        <v>5000</v>
      </c>
      <c r="L49" s="2">
        <f t="shared" ca="1" si="8"/>
        <v>0</v>
      </c>
      <c r="M49" s="2">
        <f t="shared" ca="1" si="8"/>
        <v>0</v>
      </c>
      <c r="N49" s="2">
        <f t="shared" ca="1" si="8"/>
        <v>0</v>
      </c>
      <c r="O49" s="2">
        <f t="shared" ca="1" si="8"/>
        <v>10000</v>
      </c>
      <c r="P49" s="2">
        <f t="shared" ca="1" si="8"/>
        <v>0</v>
      </c>
      <c r="Q49" s="2">
        <f t="shared" ca="1" si="8"/>
        <v>0</v>
      </c>
      <c r="R49" s="2">
        <f t="shared" ca="1" si="8"/>
        <v>0</v>
      </c>
      <c r="S49" s="2">
        <f t="shared" ca="1" si="8"/>
        <v>10000</v>
      </c>
      <c r="T49" s="2">
        <f t="shared" ca="1" si="8"/>
        <v>0</v>
      </c>
      <c r="U49" s="2">
        <f t="shared" ca="1" si="8"/>
        <v>10000</v>
      </c>
      <c r="V49" s="2">
        <f t="shared" ca="1" si="8"/>
        <v>10000</v>
      </c>
      <c r="W49" s="2">
        <f t="shared" ca="1" si="8"/>
        <v>0</v>
      </c>
      <c r="X49" s="2">
        <f t="shared" ca="1" si="8"/>
        <v>10000</v>
      </c>
      <c r="Y49" s="2">
        <f t="shared" ca="1" si="8"/>
        <v>0</v>
      </c>
      <c r="Z49" s="2">
        <f t="shared" ca="1" si="8"/>
        <v>0</v>
      </c>
      <c r="AA49" s="2">
        <f t="shared" ca="1" si="8"/>
        <v>0</v>
      </c>
      <c r="AB49" s="2">
        <f t="shared" ca="1" si="8"/>
        <v>0</v>
      </c>
      <c r="AC49" s="2">
        <f t="shared" ca="1" si="8"/>
        <v>0</v>
      </c>
      <c r="AD49" s="2">
        <f t="shared" ca="1" si="8"/>
        <v>0</v>
      </c>
      <c r="AE49" s="2">
        <f t="shared" ca="1" si="8"/>
        <v>5000</v>
      </c>
      <c r="AF49" s="2">
        <f t="shared" ca="1" si="8"/>
        <v>5000</v>
      </c>
      <c r="AG49" s="2">
        <f t="shared" ca="1" si="8"/>
        <v>5000</v>
      </c>
      <c r="AH49" s="2">
        <f t="shared" ca="1" si="8"/>
        <v>10000</v>
      </c>
      <c r="AI49" s="2">
        <f t="shared" ca="1" si="8"/>
        <v>10000</v>
      </c>
      <c r="AJ49" s="2">
        <f t="shared" ca="1" si="8"/>
        <v>5000</v>
      </c>
      <c r="AK49" s="2">
        <f t="shared" ca="1" si="8"/>
        <v>10000</v>
      </c>
      <c r="AL49" s="2">
        <f t="shared" ca="1" si="8"/>
        <v>10000</v>
      </c>
      <c r="AM49" s="2">
        <f t="shared" ca="1" si="8"/>
        <v>10000</v>
      </c>
      <c r="AN49" s="2">
        <f t="shared" ca="1" si="8"/>
        <v>10000</v>
      </c>
      <c r="AO49" s="2">
        <f t="shared" ca="1" si="8"/>
        <v>15000</v>
      </c>
      <c r="AP49" s="2">
        <f t="shared" ca="1" si="8"/>
        <v>10000</v>
      </c>
      <c r="AQ49" s="2">
        <f t="shared" ca="1" si="8"/>
        <v>15000</v>
      </c>
      <c r="AR49" s="2">
        <f t="shared" ca="1" si="8"/>
        <v>15000</v>
      </c>
      <c r="AS49" s="2">
        <f t="shared" ca="1" si="8"/>
        <v>15000</v>
      </c>
      <c r="AT49" s="2">
        <f t="shared" ca="1" si="8"/>
        <v>20000</v>
      </c>
      <c r="AU49" s="2">
        <f t="shared" ca="1" si="8"/>
        <v>20000</v>
      </c>
      <c r="AV49" s="2">
        <f t="shared" ca="1" si="8"/>
        <v>20000</v>
      </c>
      <c r="AW49" s="2">
        <f t="shared" ca="1" si="8"/>
        <v>25000</v>
      </c>
      <c r="AX49" s="2">
        <f t="shared" ca="1" si="8"/>
        <v>20000</v>
      </c>
      <c r="AY49" s="2">
        <f t="shared" ca="1" si="8"/>
        <v>25000</v>
      </c>
      <c r="AZ49" s="2">
        <f t="shared" ca="1" si="8"/>
        <v>30000</v>
      </c>
      <c r="BA49" s="2">
        <f t="shared" ca="1" si="8"/>
        <v>25000</v>
      </c>
      <c r="BB49" s="2">
        <f t="shared" ca="1" si="8"/>
        <v>30000</v>
      </c>
      <c r="BC49" s="2">
        <f t="shared" ca="1" si="8"/>
        <v>30000</v>
      </c>
      <c r="BD49" s="2">
        <f t="shared" ca="1" si="8"/>
        <v>35000</v>
      </c>
      <c r="BE49" s="2">
        <f t="shared" ca="1" si="8"/>
        <v>35000</v>
      </c>
      <c r="BF49" s="2">
        <f t="shared" ca="1" si="8"/>
        <v>35000</v>
      </c>
      <c r="BG49" s="2">
        <f t="shared" ca="1" si="8"/>
        <v>40000</v>
      </c>
      <c r="BH49" s="2">
        <f t="shared" ca="1" si="8"/>
        <v>40000</v>
      </c>
      <c r="BI49" s="2">
        <f t="shared" ca="1" si="8"/>
        <v>45000</v>
      </c>
      <c r="BJ49" s="2">
        <f t="shared" ca="1" si="8"/>
        <v>45000</v>
      </c>
      <c r="BK49" s="2">
        <f t="shared" ca="1" si="8"/>
        <v>50000</v>
      </c>
      <c r="BL49" s="2">
        <f t="shared" ca="1" si="8"/>
        <v>50000</v>
      </c>
      <c r="BM49" s="2">
        <f t="shared" ca="1" si="8"/>
        <v>55000</v>
      </c>
      <c r="BN49" s="2">
        <f t="shared" ca="1" si="8"/>
        <v>60000</v>
      </c>
      <c r="BO49" s="2">
        <f t="shared" ca="1" si="8"/>
        <v>60000</v>
      </c>
      <c r="BP49" s="2">
        <f t="shared" ca="1" si="8"/>
        <v>65000</v>
      </c>
      <c r="BQ49" s="2">
        <f t="shared" ca="1" si="8"/>
        <v>70000</v>
      </c>
    </row>
    <row r="50" spans="1:69" s="81" customFormat="1">
      <c r="A50" s="63"/>
      <c r="B50" s="63"/>
      <c r="C50" s="88"/>
      <c r="D50" s="90"/>
      <c r="E50" s="33" t="s">
        <v>174</v>
      </c>
      <c r="F50" s="33"/>
      <c r="G50" s="33" t="s">
        <v>123</v>
      </c>
      <c r="H50" s="33"/>
      <c r="I50" s="11">
        <f t="shared" ref="I50:BQ50" si="9" xml:space="preserve">  IF( I46 = 0, $F45, I47 + I48 - I49 )</f>
        <v>5000</v>
      </c>
      <c r="J50" s="11">
        <f t="shared" ca="1" si="9"/>
        <v>5000</v>
      </c>
      <c r="K50" s="11">
        <f t="shared" ca="1" si="9"/>
        <v>0</v>
      </c>
      <c r="L50" s="11">
        <f t="shared" ca="1" si="9"/>
        <v>10000</v>
      </c>
      <c r="M50" s="11">
        <f t="shared" ca="1" si="9"/>
        <v>20000</v>
      </c>
      <c r="N50" s="11">
        <f t="shared" ca="1" si="9"/>
        <v>30000</v>
      </c>
      <c r="O50" s="11">
        <f t="shared" ca="1" si="9"/>
        <v>20000</v>
      </c>
      <c r="P50" s="11">
        <f t="shared" ca="1" si="9"/>
        <v>30000</v>
      </c>
      <c r="Q50" s="11">
        <f t="shared" ca="1" si="9"/>
        <v>30000</v>
      </c>
      <c r="R50" s="11">
        <f t="shared" ca="1" si="9"/>
        <v>40000</v>
      </c>
      <c r="S50" s="11">
        <f t="shared" ca="1" si="9"/>
        <v>30000</v>
      </c>
      <c r="T50" s="11">
        <f t="shared" ca="1" si="9"/>
        <v>30000</v>
      </c>
      <c r="U50" s="11">
        <f t="shared" ca="1" si="9"/>
        <v>20000</v>
      </c>
      <c r="V50" s="11">
        <f t="shared" ca="1" si="9"/>
        <v>10000</v>
      </c>
      <c r="W50" s="11">
        <f t="shared" ca="1" si="9"/>
        <v>10000</v>
      </c>
      <c r="X50" s="11">
        <f t="shared" ca="1" si="9"/>
        <v>0</v>
      </c>
      <c r="Y50" s="11">
        <f t="shared" ca="1" si="9"/>
        <v>5000</v>
      </c>
      <c r="Z50" s="11">
        <f t="shared" ca="1" si="9"/>
        <v>10000</v>
      </c>
      <c r="AA50" s="11">
        <f t="shared" ca="1" si="9"/>
        <v>15000</v>
      </c>
      <c r="AB50" s="11">
        <f t="shared" ca="1" si="9"/>
        <v>25000</v>
      </c>
      <c r="AC50" s="11">
        <f t="shared" ca="1" si="9"/>
        <v>35000</v>
      </c>
      <c r="AD50" s="11">
        <f t="shared" ca="1" si="9"/>
        <v>40000</v>
      </c>
      <c r="AE50" s="11">
        <f t="shared" ca="1" si="9"/>
        <v>45000</v>
      </c>
      <c r="AF50" s="11">
        <f t="shared" ca="1" si="9"/>
        <v>50000</v>
      </c>
      <c r="AG50" s="11">
        <f t="shared" ca="1" si="9"/>
        <v>55000</v>
      </c>
      <c r="AH50" s="11">
        <f t="shared" ca="1" si="9"/>
        <v>55000</v>
      </c>
      <c r="AI50" s="11">
        <f t="shared" ca="1" si="9"/>
        <v>60000</v>
      </c>
      <c r="AJ50" s="11">
        <f t="shared" ca="1" si="9"/>
        <v>65000</v>
      </c>
      <c r="AK50" s="11">
        <f t="shared" ca="1" si="9"/>
        <v>70000</v>
      </c>
      <c r="AL50" s="11">
        <f t="shared" ca="1" si="9"/>
        <v>75000</v>
      </c>
      <c r="AM50" s="11">
        <f t="shared" ca="1" si="9"/>
        <v>80000</v>
      </c>
      <c r="AN50" s="11">
        <f t="shared" ca="1" si="9"/>
        <v>90000</v>
      </c>
      <c r="AO50" s="11">
        <f t="shared" ca="1" si="9"/>
        <v>95000</v>
      </c>
      <c r="AP50" s="11">
        <f t="shared" ca="1" si="9"/>
        <v>105000</v>
      </c>
      <c r="AQ50" s="11">
        <f t="shared" ca="1" si="9"/>
        <v>115000</v>
      </c>
      <c r="AR50" s="11">
        <f t="shared" ca="1" si="9"/>
        <v>120000</v>
      </c>
      <c r="AS50" s="11">
        <f t="shared" ca="1" si="9"/>
        <v>130000</v>
      </c>
      <c r="AT50" s="11">
        <f t="shared" ca="1" si="9"/>
        <v>140000</v>
      </c>
      <c r="AU50" s="11">
        <f t="shared" ca="1" si="9"/>
        <v>145000</v>
      </c>
      <c r="AV50" s="11">
        <f t="shared" ca="1" si="9"/>
        <v>155000</v>
      </c>
      <c r="AW50" s="11">
        <f t="shared" ca="1" si="9"/>
        <v>160000</v>
      </c>
      <c r="AX50" s="11">
        <f t="shared" ca="1" si="9"/>
        <v>175000</v>
      </c>
      <c r="AY50" s="11">
        <f t="shared" ca="1" si="9"/>
        <v>185000</v>
      </c>
      <c r="AZ50" s="11">
        <f t="shared" ca="1" si="9"/>
        <v>190000</v>
      </c>
      <c r="BA50" s="11">
        <f t="shared" ca="1" si="9"/>
        <v>205000</v>
      </c>
      <c r="BB50" s="11">
        <f t="shared" ca="1" si="9"/>
        <v>215000</v>
      </c>
      <c r="BC50" s="11">
        <f t="shared" ca="1" si="9"/>
        <v>230000</v>
      </c>
      <c r="BD50" s="11">
        <f t="shared" ca="1" si="9"/>
        <v>240000</v>
      </c>
      <c r="BE50" s="11">
        <f t="shared" ca="1" si="9"/>
        <v>255000</v>
      </c>
      <c r="BF50" s="11">
        <f t="shared" ca="1" si="9"/>
        <v>270000</v>
      </c>
      <c r="BG50" s="11">
        <f t="shared" ca="1" si="9"/>
        <v>285000</v>
      </c>
      <c r="BH50" s="11">
        <f t="shared" ca="1" si="9"/>
        <v>305000</v>
      </c>
      <c r="BI50" s="11">
        <f t="shared" ca="1" si="9"/>
        <v>320000</v>
      </c>
      <c r="BJ50" s="11">
        <f t="shared" ca="1" si="9"/>
        <v>340000</v>
      </c>
      <c r="BK50" s="11">
        <f t="shared" ca="1" si="9"/>
        <v>360000</v>
      </c>
      <c r="BL50" s="11">
        <f t="shared" ca="1" si="9"/>
        <v>385000</v>
      </c>
      <c r="BM50" s="11">
        <f t="shared" ca="1" si="9"/>
        <v>405000</v>
      </c>
      <c r="BN50" s="11">
        <f t="shared" ca="1" si="9"/>
        <v>430000</v>
      </c>
      <c r="BO50" s="11">
        <f t="shared" ca="1" si="9"/>
        <v>455000</v>
      </c>
      <c r="BP50" s="11">
        <f t="shared" ca="1" si="9"/>
        <v>485000</v>
      </c>
      <c r="BQ50" s="11">
        <f t="shared" ca="1" si="9"/>
        <v>510000</v>
      </c>
    </row>
    <row r="52" spans="1:69">
      <c r="B52" s="25" t="s">
        <v>246</v>
      </c>
    </row>
    <row r="53" spans="1:69" outlineLevel="1">
      <c r="A53" s="18"/>
      <c r="B53" s="18"/>
      <c r="C53" s="28"/>
      <c r="D53" s="27"/>
      <c r="E53" s="4" t="str">
        <f xml:space="preserve">  Customers!E$29</f>
        <v>Customer orders fullfilled</v>
      </c>
      <c r="F53" s="4">
        <f xml:space="preserve">  Customers!F$29</f>
        <v>0</v>
      </c>
      <c r="G53" s="4" t="str">
        <f xml:space="preserve">  Customers!G$29</f>
        <v>Units</v>
      </c>
      <c r="H53" s="4">
        <f ca="1" xml:space="preserve">  Customers!H$29</f>
        <v>1066000</v>
      </c>
      <c r="I53" s="4">
        <f xml:space="preserve">  Customers!I$29</f>
        <v>0</v>
      </c>
      <c r="J53" s="4">
        <f xml:space="preserve">  Customers!J$29</f>
        <v>0</v>
      </c>
      <c r="K53" s="4">
        <f ca="1" xml:space="preserve">  Customers!K$29</f>
        <v>1000</v>
      </c>
      <c r="L53" s="4">
        <f ca="1" xml:space="preserve">  Customers!L$29</f>
        <v>1000</v>
      </c>
      <c r="M53" s="4">
        <f ca="1" xml:space="preserve">  Customers!M$29</f>
        <v>1000</v>
      </c>
      <c r="N53" s="4">
        <f ca="1" xml:space="preserve">  Customers!N$29</f>
        <v>1000</v>
      </c>
      <c r="O53" s="4">
        <f ca="1" xml:space="preserve">  Customers!O$29</f>
        <v>2000</v>
      </c>
      <c r="P53" s="4">
        <f ca="1" xml:space="preserve">  Customers!P$29</f>
        <v>4000</v>
      </c>
      <c r="Q53" s="4">
        <f ca="1" xml:space="preserve">  Customers!Q$29</f>
        <v>3000</v>
      </c>
      <c r="R53" s="4">
        <f ca="1" xml:space="preserve">  Customers!R$29</f>
        <v>3000</v>
      </c>
      <c r="S53" s="4">
        <f ca="1" xml:space="preserve">  Customers!S$29</f>
        <v>0</v>
      </c>
      <c r="T53" s="4">
        <f ca="1" xml:space="preserve">  Customers!T$29</f>
        <v>10000</v>
      </c>
      <c r="U53" s="4">
        <f ca="1" xml:space="preserve">  Customers!U$29</f>
        <v>0</v>
      </c>
      <c r="V53" s="4">
        <f ca="1" xml:space="preserve">  Customers!V$29</f>
        <v>10000</v>
      </c>
      <c r="W53" s="4">
        <f ca="1" xml:space="preserve">  Customers!W$29</f>
        <v>7297.3154717964753</v>
      </c>
      <c r="X53" s="4">
        <f ca="1" xml:space="preserve">  Customers!X$29</f>
        <v>2702.6845282035247</v>
      </c>
      <c r="Y53" s="4">
        <f ca="1" xml:space="preserve">  Customers!Y$29</f>
        <v>8855.6612883569433</v>
      </c>
      <c r="Z53" s="4">
        <f ca="1" xml:space="preserve">  Customers!Z$29</f>
        <v>1144.3387116430567</v>
      </c>
      <c r="AA53" s="4">
        <f ca="1" xml:space="preserve">  Customers!AA$29</f>
        <v>0</v>
      </c>
      <c r="AB53" s="4">
        <f ca="1" xml:space="preserve">  Customers!AB$29</f>
        <v>0</v>
      </c>
      <c r="AC53" s="4">
        <f ca="1" xml:space="preserve">  Customers!AC$29</f>
        <v>0</v>
      </c>
      <c r="AD53" s="4">
        <f ca="1" xml:space="preserve">  Customers!AD$29</f>
        <v>0</v>
      </c>
      <c r="AE53" s="4">
        <f ca="1" xml:space="preserve">  Customers!AE$29</f>
        <v>0</v>
      </c>
      <c r="AF53" s="4">
        <f ca="1" xml:space="preserve">  Customers!AF$29</f>
        <v>5000</v>
      </c>
      <c r="AG53" s="4">
        <f ca="1" xml:space="preserve">  Customers!AG$29</f>
        <v>5000</v>
      </c>
      <c r="AH53" s="4">
        <f ca="1" xml:space="preserve">  Customers!AH$29</f>
        <v>5000</v>
      </c>
      <c r="AI53" s="4">
        <f ca="1" xml:space="preserve">  Customers!AI$29</f>
        <v>10000</v>
      </c>
      <c r="AJ53" s="4">
        <f ca="1" xml:space="preserve">  Customers!AJ$29</f>
        <v>10000</v>
      </c>
      <c r="AK53" s="4">
        <f ca="1" xml:space="preserve">  Customers!AK$29</f>
        <v>5000</v>
      </c>
      <c r="AL53" s="4">
        <f ca="1" xml:space="preserve">  Customers!AL$29</f>
        <v>10000</v>
      </c>
      <c r="AM53" s="4">
        <f ca="1" xml:space="preserve">  Customers!AM$29</f>
        <v>10000</v>
      </c>
      <c r="AN53" s="4">
        <f ca="1" xml:space="preserve">  Customers!AN$29</f>
        <v>10000</v>
      </c>
      <c r="AO53" s="4">
        <f ca="1" xml:space="preserve">  Customers!AO$29</f>
        <v>10000</v>
      </c>
      <c r="AP53" s="4">
        <f ca="1" xml:space="preserve">  Customers!AP$29</f>
        <v>15000</v>
      </c>
      <c r="AQ53" s="4">
        <f ca="1" xml:space="preserve">  Customers!AQ$29</f>
        <v>10000</v>
      </c>
      <c r="AR53" s="4">
        <f ca="1" xml:space="preserve">  Customers!AR$29</f>
        <v>15000</v>
      </c>
      <c r="AS53" s="4">
        <f ca="1" xml:space="preserve">  Customers!AS$29</f>
        <v>15000</v>
      </c>
      <c r="AT53" s="4">
        <f ca="1" xml:space="preserve">  Customers!AT$29</f>
        <v>15000</v>
      </c>
      <c r="AU53" s="4">
        <f ca="1" xml:space="preserve">  Customers!AU$29</f>
        <v>20000</v>
      </c>
      <c r="AV53" s="4">
        <f ca="1" xml:space="preserve">  Customers!AV$29</f>
        <v>20000</v>
      </c>
      <c r="AW53" s="4">
        <f ca="1" xml:space="preserve">  Customers!AW$29</f>
        <v>20000</v>
      </c>
      <c r="AX53" s="4">
        <f ca="1" xml:space="preserve">  Customers!AX$29</f>
        <v>25000</v>
      </c>
      <c r="AY53" s="4">
        <f ca="1" xml:space="preserve">  Customers!AY$29</f>
        <v>20000</v>
      </c>
      <c r="AZ53" s="4">
        <f ca="1" xml:space="preserve">  Customers!AZ$29</f>
        <v>25000</v>
      </c>
      <c r="BA53" s="4">
        <f ca="1" xml:space="preserve">  Customers!BA$29</f>
        <v>30000</v>
      </c>
      <c r="BB53" s="4">
        <f ca="1" xml:space="preserve">  Customers!BB$29</f>
        <v>25000</v>
      </c>
      <c r="BC53" s="4">
        <f ca="1" xml:space="preserve">  Customers!BC$29</f>
        <v>30000</v>
      </c>
      <c r="BD53" s="4">
        <f ca="1" xml:space="preserve">  Customers!BD$29</f>
        <v>30000.000000000004</v>
      </c>
      <c r="BE53" s="4">
        <f ca="1" xml:space="preserve">  Customers!BE$29</f>
        <v>35000</v>
      </c>
      <c r="BF53" s="4">
        <f ca="1" xml:space="preserve">  Customers!BF$29</f>
        <v>35000</v>
      </c>
      <c r="BG53" s="4">
        <f ca="1" xml:space="preserve">  Customers!BG$29</f>
        <v>35000</v>
      </c>
      <c r="BH53" s="4">
        <f ca="1" xml:space="preserve">  Customers!BH$29</f>
        <v>40000</v>
      </c>
      <c r="BI53" s="4">
        <f ca="1" xml:space="preserve">  Customers!BI$29</f>
        <v>40000</v>
      </c>
      <c r="BJ53" s="4">
        <f ca="1" xml:space="preserve">  Customers!BJ$29</f>
        <v>45000</v>
      </c>
      <c r="BK53" s="4">
        <f ca="1" xml:space="preserve">  Customers!BK$29</f>
        <v>45000</v>
      </c>
      <c r="BL53" s="4">
        <f ca="1" xml:space="preserve">  Customers!BL$29</f>
        <v>49999.999999999993</v>
      </c>
      <c r="BM53" s="4">
        <f ca="1" xml:space="preserve">  Customers!BM$29</f>
        <v>50000.000000000007</v>
      </c>
      <c r="BN53" s="4">
        <f ca="1" xml:space="preserve">  Customers!BN$29</f>
        <v>54999.999999999985</v>
      </c>
      <c r="BO53" s="4">
        <f ca="1" xml:space="preserve">  Customers!BO$29</f>
        <v>60000</v>
      </c>
      <c r="BP53" s="4">
        <f ca="1" xml:space="preserve">  Customers!BP$29</f>
        <v>60000</v>
      </c>
      <c r="BQ53" s="4">
        <f ca="1" xml:space="preserve">  Customers!BQ$29</f>
        <v>65000</v>
      </c>
    </row>
    <row r="54" spans="1:69" outlineLevel="1">
      <c r="A54" s="34"/>
      <c r="B54" s="34"/>
      <c r="C54" s="64"/>
      <c r="D54" s="65"/>
      <c r="E54" s="21" t="s">
        <v>246</v>
      </c>
      <c r="F54" s="21"/>
      <c r="G54" s="21" t="s">
        <v>123</v>
      </c>
      <c r="H54" s="3">
        <f ca="1" xml:space="preserve"> SUM( J54:BQ54 )</f>
        <v>1066000</v>
      </c>
      <c r="I54" s="21"/>
      <c r="J54" s="3">
        <f t="shared" ref="J54:BQ54" si="10" xml:space="preserve">  J53</f>
        <v>0</v>
      </c>
      <c r="K54" s="3">
        <f t="shared" ca="1" si="10"/>
        <v>1000</v>
      </c>
      <c r="L54" s="3">
        <f t="shared" ca="1" si="10"/>
        <v>1000</v>
      </c>
      <c r="M54" s="3">
        <f t="shared" ca="1" si="10"/>
        <v>1000</v>
      </c>
      <c r="N54" s="3">
        <f t="shared" ca="1" si="10"/>
        <v>1000</v>
      </c>
      <c r="O54" s="3">
        <f t="shared" ca="1" si="10"/>
        <v>2000</v>
      </c>
      <c r="P54" s="3">
        <f t="shared" ca="1" si="10"/>
        <v>4000</v>
      </c>
      <c r="Q54" s="3">
        <f t="shared" ca="1" si="10"/>
        <v>3000</v>
      </c>
      <c r="R54" s="3">
        <f t="shared" ca="1" si="10"/>
        <v>3000</v>
      </c>
      <c r="S54" s="3">
        <f t="shared" ca="1" si="10"/>
        <v>0</v>
      </c>
      <c r="T54" s="3">
        <f t="shared" ca="1" si="10"/>
        <v>10000</v>
      </c>
      <c r="U54" s="3">
        <f t="shared" ca="1" si="10"/>
        <v>0</v>
      </c>
      <c r="V54" s="3">
        <f t="shared" ca="1" si="10"/>
        <v>10000</v>
      </c>
      <c r="W54" s="3">
        <f t="shared" ca="1" si="10"/>
        <v>7297.3154717964753</v>
      </c>
      <c r="X54" s="3">
        <f t="shared" ca="1" si="10"/>
        <v>2702.6845282035247</v>
      </c>
      <c r="Y54" s="3">
        <f t="shared" ca="1" si="10"/>
        <v>8855.6612883569433</v>
      </c>
      <c r="Z54" s="3">
        <f t="shared" ca="1" si="10"/>
        <v>1144.3387116430567</v>
      </c>
      <c r="AA54" s="3">
        <f t="shared" ca="1" si="10"/>
        <v>0</v>
      </c>
      <c r="AB54" s="3">
        <f t="shared" ca="1" si="10"/>
        <v>0</v>
      </c>
      <c r="AC54" s="3">
        <f t="shared" ca="1" si="10"/>
        <v>0</v>
      </c>
      <c r="AD54" s="3">
        <f t="shared" ca="1" si="10"/>
        <v>0</v>
      </c>
      <c r="AE54" s="3">
        <f t="shared" ca="1" si="10"/>
        <v>0</v>
      </c>
      <c r="AF54" s="3">
        <f t="shared" ca="1" si="10"/>
        <v>5000</v>
      </c>
      <c r="AG54" s="3">
        <f t="shared" ca="1" si="10"/>
        <v>5000</v>
      </c>
      <c r="AH54" s="3">
        <f t="shared" ca="1" si="10"/>
        <v>5000</v>
      </c>
      <c r="AI54" s="3">
        <f t="shared" ca="1" si="10"/>
        <v>10000</v>
      </c>
      <c r="AJ54" s="3">
        <f t="shared" ca="1" si="10"/>
        <v>10000</v>
      </c>
      <c r="AK54" s="3">
        <f t="shared" ca="1" si="10"/>
        <v>5000</v>
      </c>
      <c r="AL54" s="3">
        <f t="shared" ca="1" si="10"/>
        <v>10000</v>
      </c>
      <c r="AM54" s="3">
        <f t="shared" ca="1" si="10"/>
        <v>10000</v>
      </c>
      <c r="AN54" s="3">
        <f t="shared" ca="1" si="10"/>
        <v>10000</v>
      </c>
      <c r="AO54" s="3">
        <f t="shared" ca="1" si="10"/>
        <v>10000</v>
      </c>
      <c r="AP54" s="3">
        <f t="shared" ca="1" si="10"/>
        <v>15000</v>
      </c>
      <c r="AQ54" s="3">
        <f t="shared" ca="1" si="10"/>
        <v>10000</v>
      </c>
      <c r="AR54" s="3">
        <f t="shared" ca="1" si="10"/>
        <v>15000</v>
      </c>
      <c r="AS54" s="3">
        <f t="shared" ca="1" si="10"/>
        <v>15000</v>
      </c>
      <c r="AT54" s="3">
        <f t="shared" ca="1" si="10"/>
        <v>15000</v>
      </c>
      <c r="AU54" s="3">
        <f t="shared" ca="1" si="10"/>
        <v>20000</v>
      </c>
      <c r="AV54" s="3">
        <f t="shared" ca="1" si="10"/>
        <v>20000</v>
      </c>
      <c r="AW54" s="3">
        <f t="shared" ca="1" si="10"/>
        <v>20000</v>
      </c>
      <c r="AX54" s="3">
        <f t="shared" ca="1" si="10"/>
        <v>25000</v>
      </c>
      <c r="AY54" s="3">
        <f t="shared" ca="1" si="10"/>
        <v>20000</v>
      </c>
      <c r="AZ54" s="3">
        <f t="shared" ca="1" si="10"/>
        <v>25000</v>
      </c>
      <c r="BA54" s="3">
        <f t="shared" ca="1" si="10"/>
        <v>30000</v>
      </c>
      <c r="BB54" s="3">
        <f t="shared" ca="1" si="10"/>
        <v>25000</v>
      </c>
      <c r="BC54" s="3">
        <f t="shared" ca="1" si="10"/>
        <v>30000</v>
      </c>
      <c r="BD54" s="3">
        <f t="shared" ca="1" si="10"/>
        <v>30000.000000000004</v>
      </c>
      <c r="BE54" s="3">
        <f t="shared" ca="1" si="10"/>
        <v>35000</v>
      </c>
      <c r="BF54" s="3">
        <f t="shared" ca="1" si="10"/>
        <v>35000</v>
      </c>
      <c r="BG54" s="3">
        <f t="shared" ca="1" si="10"/>
        <v>35000</v>
      </c>
      <c r="BH54" s="3">
        <f t="shared" ca="1" si="10"/>
        <v>40000</v>
      </c>
      <c r="BI54" s="3">
        <f t="shared" ca="1" si="10"/>
        <v>40000</v>
      </c>
      <c r="BJ54" s="3">
        <f t="shared" ca="1" si="10"/>
        <v>45000</v>
      </c>
      <c r="BK54" s="3">
        <f t="shared" ca="1" si="10"/>
        <v>45000</v>
      </c>
      <c r="BL54" s="3">
        <f t="shared" ca="1" si="10"/>
        <v>49999.999999999993</v>
      </c>
      <c r="BM54" s="3">
        <f t="shared" ca="1" si="10"/>
        <v>50000.000000000007</v>
      </c>
      <c r="BN54" s="3">
        <f t="shared" ca="1" si="10"/>
        <v>54999.999999999985</v>
      </c>
      <c r="BO54" s="3">
        <f t="shared" ca="1" si="10"/>
        <v>60000</v>
      </c>
      <c r="BP54" s="3">
        <f t="shared" ca="1" si="10"/>
        <v>60000</v>
      </c>
      <c r="BQ54" s="3">
        <f t="shared" ca="1" si="10"/>
        <v>65000</v>
      </c>
    </row>
    <row r="57" spans="1:69">
      <c r="B57" s="25" t="s">
        <v>131</v>
      </c>
    </row>
    <row r="58" spans="1:69" s="82" customFormat="1">
      <c r="A58" s="59"/>
      <c r="B58" s="59"/>
      <c r="C58" s="87"/>
      <c r="D58" s="84"/>
      <c r="E58" s="40" t="str">
        <f xml:space="preserve">  InpC!E$41</f>
        <v>Opening Units in stock</v>
      </c>
      <c r="F58" s="40">
        <f xml:space="preserve">  InpC!F$41</f>
        <v>1000</v>
      </c>
      <c r="G58" s="40" t="str">
        <f xml:space="preserve">  InpC!G$41</f>
        <v>Units</v>
      </c>
      <c r="M58" s="80"/>
    </row>
    <row r="59" spans="1:69">
      <c r="A59" s="18"/>
      <c r="B59" s="18"/>
      <c r="C59" s="28"/>
      <c r="D59" s="27"/>
      <c r="E59" s="9" t="str">
        <f xml:space="preserve">  Time!E$28</f>
        <v>Period number</v>
      </c>
      <c r="F59" s="9">
        <f xml:space="preserve">  Time!F$28</f>
        <v>0</v>
      </c>
      <c r="G59" s="9" t="str">
        <f xml:space="preserve">  Time!G$28</f>
        <v>Counter</v>
      </c>
      <c r="H59" s="9">
        <f xml:space="preserve">  Time!H$28</f>
        <v>0</v>
      </c>
      <c r="I59" s="9">
        <f xml:space="preserve">  Time!I$28</f>
        <v>0</v>
      </c>
      <c r="J59" s="9">
        <f xml:space="preserve">  Time!J$28</f>
        <v>1</v>
      </c>
      <c r="K59" s="9">
        <f xml:space="preserve">  Time!K$28</f>
        <v>2</v>
      </c>
      <c r="L59" s="9">
        <f xml:space="preserve">  Time!L$28</f>
        <v>3</v>
      </c>
      <c r="M59" s="9">
        <f xml:space="preserve">  Time!M$28</f>
        <v>4</v>
      </c>
      <c r="N59" s="9">
        <f xml:space="preserve">  Time!N$28</f>
        <v>5</v>
      </c>
      <c r="O59" s="9">
        <f xml:space="preserve">  Time!O$28</f>
        <v>6</v>
      </c>
      <c r="P59" s="9">
        <f xml:space="preserve">  Time!P$28</f>
        <v>7</v>
      </c>
      <c r="Q59" s="9">
        <f xml:space="preserve">  Time!Q$28</f>
        <v>8</v>
      </c>
      <c r="R59" s="9">
        <f xml:space="preserve">  Time!R$28</f>
        <v>9</v>
      </c>
      <c r="S59" s="9">
        <f xml:space="preserve">  Time!S$28</f>
        <v>10</v>
      </c>
      <c r="T59" s="9">
        <f xml:space="preserve">  Time!T$28</f>
        <v>11</v>
      </c>
      <c r="U59" s="9">
        <f xml:space="preserve">  Time!U$28</f>
        <v>12</v>
      </c>
      <c r="V59" s="9">
        <f xml:space="preserve">  Time!V$28</f>
        <v>13</v>
      </c>
      <c r="W59" s="9">
        <f xml:space="preserve">  Time!W$28</f>
        <v>14</v>
      </c>
      <c r="X59" s="9">
        <f xml:space="preserve">  Time!X$28</f>
        <v>15</v>
      </c>
      <c r="Y59" s="9">
        <f xml:space="preserve">  Time!Y$28</f>
        <v>16</v>
      </c>
      <c r="Z59" s="9">
        <f xml:space="preserve">  Time!Z$28</f>
        <v>17</v>
      </c>
      <c r="AA59" s="9">
        <f xml:space="preserve">  Time!AA$28</f>
        <v>18</v>
      </c>
      <c r="AB59" s="9">
        <f xml:space="preserve">  Time!AB$28</f>
        <v>19</v>
      </c>
      <c r="AC59" s="9">
        <f xml:space="preserve">  Time!AC$28</f>
        <v>20</v>
      </c>
      <c r="AD59" s="9">
        <f xml:space="preserve">  Time!AD$28</f>
        <v>21</v>
      </c>
      <c r="AE59" s="9">
        <f xml:space="preserve">  Time!AE$28</f>
        <v>22</v>
      </c>
      <c r="AF59" s="9">
        <f xml:space="preserve">  Time!AF$28</f>
        <v>23</v>
      </c>
      <c r="AG59" s="9">
        <f xml:space="preserve">  Time!AG$28</f>
        <v>24</v>
      </c>
      <c r="AH59" s="9">
        <f xml:space="preserve">  Time!AH$28</f>
        <v>25</v>
      </c>
      <c r="AI59" s="9">
        <f xml:space="preserve">  Time!AI$28</f>
        <v>26</v>
      </c>
      <c r="AJ59" s="9">
        <f xml:space="preserve">  Time!AJ$28</f>
        <v>27</v>
      </c>
      <c r="AK59" s="9">
        <f xml:space="preserve">  Time!AK$28</f>
        <v>28</v>
      </c>
      <c r="AL59" s="9">
        <f xml:space="preserve">  Time!AL$28</f>
        <v>29</v>
      </c>
      <c r="AM59" s="9">
        <f xml:space="preserve">  Time!AM$28</f>
        <v>30</v>
      </c>
      <c r="AN59" s="9">
        <f xml:space="preserve">  Time!AN$28</f>
        <v>31</v>
      </c>
      <c r="AO59" s="9">
        <f xml:space="preserve">  Time!AO$28</f>
        <v>32</v>
      </c>
      <c r="AP59" s="9">
        <f xml:space="preserve">  Time!AP$28</f>
        <v>33</v>
      </c>
      <c r="AQ59" s="9">
        <f xml:space="preserve">  Time!AQ$28</f>
        <v>34</v>
      </c>
      <c r="AR59" s="9">
        <f xml:space="preserve">  Time!AR$28</f>
        <v>35</v>
      </c>
      <c r="AS59" s="9">
        <f xml:space="preserve">  Time!AS$28</f>
        <v>36</v>
      </c>
      <c r="AT59" s="9">
        <f xml:space="preserve">  Time!AT$28</f>
        <v>37</v>
      </c>
      <c r="AU59" s="9">
        <f xml:space="preserve">  Time!AU$28</f>
        <v>38</v>
      </c>
      <c r="AV59" s="9">
        <f xml:space="preserve">  Time!AV$28</f>
        <v>39</v>
      </c>
      <c r="AW59" s="9">
        <f xml:space="preserve">  Time!AW$28</f>
        <v>40</v>
      </c>
      <c r="AX59" s="9">
        <f xml:space="preserve">  Time!AX$28</f>
        <v>41</v>
      </c>
      <c r="AY59" s="9">
        <f xml:space="preserve">  Time!AY$28</f>
        <v>42</v>
      </c>
      <c r="AZ59" s="9">
        <f xml:space="preserve">  Time!AZ$28</f>
        <v>43</v>
      </c>
      <c r="BA59" s="9">
        <f xml:space="preserve">  Time!BA$28</f>
        <v>44</v>
      </c>
      <c r="BB59" s="9">
        <f xml:space="preserve">  Time!BB$28</f>
        <v>45</v>
      </c>
      <c r="BC59" s="9">
        <f xml:space="preserve">  Time!BC$28</f>
        <v>46</v>
      </c>
      <c r="BD59" s="9">
        <f xml:space="preserve">  Time!BD$28</f>
        <v>47</v>
      </c>
      <c r="BE59" s="9">
        <f xml:space="preserve">  Time!BE$28</f>
        <v>48</v>
      </c>
      <c r="BF59" s="9">
        <f xml:space="preserve">  Time!BF$28</f>
        <v>49</v>
      </c>
      <c r="BG59" s="9">
        <f xml:space="preserve">  Time!BG$28</f>
        <v>50</v>
      </c>
      <c r="BH59" s="9">
        <f xml:space="preserve">  Time!BH$28</f>
        <v>51</v>
      </c>
      <c r="BI59" s="9">
        <f xml:space="preserve">  Time!BI$28</f>
        <v>52</v>
      </c>
      <c r="BJ59" s="9">
        <f xml:space="preserve">  Time!BJ$28</f>
        <v>53</v>
      </c>
      <c r="BK59" s="9">
        <f xml:space="preserve">  Time!BK$28</f>
        <v>54</v>
      </c>
      <c r="BL59" s="9">
        <f xml:space="preserve">  Time!BL$28</f>
        <v>55</v>
      </c>
      <c r="BM59" s="9">
        <f xml:space="preserve">  Time!BM$28</f>
        <v>56</v>
      </c>
      <c r="BN59" s="9">
        <f xml:space="preserve">  Time!BN$28</f>
        <v>57</v>
      </c>
      <c r="BO59" s="9">
        <f xml:space="preserve">  Time!BO$28</f>
        <v>58</v>
      </c>
      <c r="BP59" s="9">
        <f xml:space="preserve">  Time!BP$28</f>
        <v>59</v>
      </c>
      <c r="BQ59" s="9">
        <f xml:space="preserve">  Time!BQ$28</f>
        <v>60</v>
      </c>
    </row>
    <row r="60" spans="1:69">
      <c r="A60" s="34"/>
      <c r="B60" s="34"/>
      <c r="C60" s="64"/>
      <c r="D60" s="65"/>
      <c r="E60" s="21" t="s">
        <v>139</v>
      </c>
      <c r="F60" s="21"/>
      <c r="G60" s="21" t="s">
        <v>123</v>
      </c>
      <c r="H60" s="21"/>
      <c r="I60" s="21"/>
      <c r="J60" s="3">
        <f t="shared" ref="J60:BQ60" si="11" xml:space="preserve">  I65</f>
        <v>1000</v>
      </c>
      <c r="K60" s="3">
        <f t="shared" ca="1" si="11"/>
        <v>1000</v>
      </c>
      <c r="L60" s="3">
        <f t="shared" ca="1" si="11"/>
        <v>5000</v>
      </c>
      <c r="M60" s="3">
        <f t="shared" ca="1" si="11"/>
        <v>4000</v>
      </c>
      <c r="N60" s="3">
        <f t="shared" ca="1" si="11"/>
        <v>3000</v>
      </c>
      <c r="O60" s="3">
        <f t="shared" ca="1" si="11"/>
        <v>2000</v>
      </c>
      <c r="P60" s="3">
        <f t="shared" ca="1" si="11"/>
        <v>10000</v>
      </c>
      <c r="Q60" s="3">
        <f t="shared" ca="1" si="11"/>
        <v>6000</v>
      </c>
      <c r="R60" s="3">
        <f t="shared" ca="1" si="11"/>
        <v>3000</v>
      </c>
      <c r="S60" s="3">
        <f t="shared" ca="1" si="11"/>
        <v>0</v>
      </c>
      <c r="T60" s="3">
        <f t="shared" ca="1" si="11"/>
        <v>10000</v>
      </c>
      <c r="U60" s="3">
        <f t="shared" ca="1" si="11"/>
        <v>0</v>
      </c>
      <c r="V60" s="3">
        <f t="shared" ca="1" si="11"/>
        <v>10000</v>
      </c>
      <c r="W60" s="3">
        <f t="shared" ca="1" si="11"/>
        <v>10000</v>
      </c>
      <c r="X60" s="3">
        <f t="shared" ca="1" si="11"/>
        <v>2702.6845282035247</v>
      </c>
      <c r="Y60" s="3">
        <f t="shared" ca="1" si="11"/>
        <v>10000</v>
      </c>
      <c r="Z60" s="3">
        <f t="shared" ca="1" si="11"/>
        <v>1144.3387116430567</v>
      </c>
      <c r="AA60" s="3">
        <f t="shared" ca="1" si="11"/>
        <v>0</v>
      </c>
      <c r="AB60" s="3">
        <f t="shared" ca="1" si="11"/>
        <v>0</v>
      </c>
      <c r="AC60" s="3">
        <f t="shared" ca="1" si="11"/>
        <v>0</v>
      </c>
      <c r="AD60" s="3">
        <f t="shared" ca="1" si="11"/>
        <v>0</v>
      </c>
      <c r="AE60" s="3">
        <f t="shared" ca="1" si="11"/>
        <v>0</v>
      </c>
      <c r="AF60" s="3">
        <f t="shared" ca="1" si="11"/>
        <v>5000</v>
      </c>
      <c r="AG60" s="3">
        <f t="shared" ca="1" si="11"/>
        <v>5000</v>
      </c>
      <c r="AH60" s="3">
        <f t="shared" ca="1" si="11"/>
        <v>5000</v>
      </c>
      <c r="AI60" s="3">
        <f t="shared" ca="1" si="11"/>
        <v>10000</v>
      </c>
      <c r="AJ60" s="3">
        <f t="shared" ca="1" si="11"/>
        <v>10000</v>
      </c>
      <c r="AK60" s="3">
        <f t="shared" ca="1" si="11"/>
        <v>5000</v>
      </c>
      <c r="AL60" s="3">
        <f t="shared" ca="1" si="11"/>
        <v>10000</v>
      </c>
      <c r="AM60" s="3">
        <f t="shared" ca="1" si="11"/>
        <v>10000</v>
      </c>
      <c r="AN60" s="3">
        <f t="shared" ca="1" si="11"/>
        <v>10000</v>
      </c>
      <c r="AO60" s="3">
        <f t="shared" ca="1" si="11"/>
        <v>10000</v>
      </c>
      <c r="AP60" s="3">
        <f t="shared" ca="1" si="11"/>
        <v>15000</v>
      </c>
      <c r="AQ60" s="3">
        <f t="shared" ca="1" si="11"/>
        <v>10000</v>
      </c>
      <c r="AR60" s="3">
        <f t="shared" ca="1" si="11"/>
        <v>15000</v>
      </c>
      <c r="AS60" s="3">
        <f t="shared" ca="1" si="11"/>
        <v>15000</v>
      </c>
      <c r="AT60" s="3">
        <f t="shared" ca="1" si="11"/>
        <v>15000</v>
      </c>
      <c r="AU60" s="3">
        <f t="shared" ca="1" si="11"/>
        <v>20000</v>
      </c>
      <c r="AV60" s="3">
        <f t="shared" ca="1" si="11"/>
        <v>20000</v>
      </c>
      <c r="AW60" s="3">
        <f t="shared" ca="1" si="11"/>
        <v>20000</v>
      </c>
      <c r="AX60" s="3">
        <f t="shared" ca="1" si="11"/>
        <v>25000</v>
      </c>
      <c r="AY60" s="3">
        <f t="shared" ca="1" si="11"/>
        <v>20000</v>
      </c>
      <c r="AZ60" s="3">
        <f t="shared" ca="1" si="11"/>
        <v>25000</v>
      </c>
      <c r="BA60" s="3">
        <f t="shared" ca="1" si="11"/>
        <v>30000</v>
      </c>
      <c r="BB60" s="3">
        <f t="shared" ca="1" si="11"/>
        <v>25000</v>
      </c>
      <c r="BC60" s="3">
        <f t="shared" ca="1" si="11"/>
        <v>30000</v>
      </c>
      <c r="BD60" s="3">
        <f t="shared" ca="1" si="11"/>
        <v>30000.000000000004</v>
      </c>
      <c r="BE60" s="3">
        <f t="shared" ca="1" si="11"/>
        <v>35000</v>
      </c>
      <c r="BF60" s="3">
        <f t="shared" ca="1" si="11"/>
        <v>35000</v>
      </c>
      <c r="BG60" s="3">
        <f t="shared" ca="1" si="11"/>
        <v>35000</v>
      </c>
      <c r="BH60" s="3">
        <f t="shared" ca="1" si="11"/>
        <v>40000</v>
      </c>
      <c r="BI60" s="3">
        <f t="shared" ca="1" si="11"/>
        <v>40000</v>
      </c>
      <c r="BJ60" s="3">
        <f t="shared" ca="1" si="11"/>
        <v>45000</v>
      </c>
      <c r="BK60" s="3">
        <f t="shared" ca="1" si="11"/>
        <v>45000</v>
      </c>
      <c r="BL60" s="3">
        <f t="shared" ca="1" si="11"/>
        <v>49999.999999999993</v>
      </c>
      <c r="BM60" s="3">
        <f t="shared" ca="1" si="11"/>
        <v>50000.000000000007</v>
      </c>
      <c r="BN60" s="3">
        <f t="shared" ca="1" si="11"/>
        <v>54999.999999999985</v>
      </c>
      <c r="BO60" s="3">
        <f t="shared" ca="1" si="11"/>
        <v>60000</v>
      </c>
      <c r="BP60" s="3">
        <f t="shared" ca="1" si="11"/>
        <v>60000</v>
      </c>
      <c r="BQ60" s="3">
        <f t="shared" ca="1" si="11"/>
        <v>65000</v>
      </c>
    </row>
    <row r="61" spans="1:69">
      <c r="D61" s="91" t="s">
        <v>219</v>
      </c>
      <c r="E61" s="2" t="str">
        <f t="shared" ref="E61:BQ61" si="12" xml:space="preserve">  E$41</f>
        <v>Units delivered</v>
      </c>
      <c r="F61" s="2">
        <f t="shared" si="12"/>
        <v>0</v>
      </c>
      <c r="G61" s="2" t="str">
        <f t="shared" si="12"/>
        <v>Units</v>
      </c>
      <c r="H61" s="2">
        <f t="shared" ca="1" si="12"/>
        <v>1135000</v>
      </c>
      <c r="I61" s="2">
        <f t="shared" si="12"/>
        <v>0</v>
      </c>
      <c r="J61" s="2">
        <f t="shared" ca="1" si="12"/>
        <v>0</v>
      </c>
      <c r="K61" s="2">
        <f t="shared" ca="1" si="12"/>
        <v>5000</v>
      </c>
      <c r="L61" s="2">
        <f t="shared" ca="1" si="12"/>
        <v>0</v>
      </c>
      <c r="M61" s="2">
        <f t="shared" ca="1" si="12"/>
        <v>0</v>
      </c>
      <c r="N61" s="2">
        <f t="shared" ca="1" si="12"/>
        <v>0</v>
      </c>
      <c r="O61" s="2">
        <f t="shared" ca="1" si="12"/>
        <v>10000</v>
      </c>
      <c r="P61" s="2">
        <f t="shared" ca="1" si="12"/>
        <v>0</v>
      </c>
      <c r="Q61" s="2">
        <f t="shared" ca="1" si="12"/>
        <v>0</v>
      </c>
      <c r="R61" s="2">
        <f t="shared" ca="1" si="12"/>
        <v>0</v>
      </c>
      <c r="S61" s="2">
        <f t="shared" ca="1" si="12"/>
        <v>10000</v>
      </c>
      <c r="T61" s="2">
        <f t="shared" ca="1" si="12"/>
        <v>0</v>
      </c>
      <c r="U61" s="2">
        <f t="shared" ca="1" si="12"/>
        <v>10000</v>
      </c>
      <c r="V61" s="2">
        <f t="shared" ca="1" si="12"/>
        <v>10000</v>
      </c>
      <c r="W61" s="2">
        <f t="shared" ca="1" si="12"/>
        <v>0</v>
      </c>
      <c r="X61" s="2">
        <f t="shared" ca="1" si="12"/>
        <v>10000</v>
      </c>
      <c r="Y61" s="2">
        <f t="shared" ca="1" si="12"/>
        <v>0</v>
      </c>
      <c r="Z61" s="2">
        <f t="shared" ca="1" si="12"/>
        <v>0</v>
      </c>
      <c r="AA61" s="2">
        <f t="shared" ca="1" si="12"/>
        <v>0</v>
      </c>
      <c r="AB61" s="2">
        <f t="shared" ca="1" si="12"/>
        <v>0</v>
      </c>
      <c r="AC61" s="2">
        <f t="shared" ca="1" si="12"/>
        <v>0</v>
      </c>
      <c r="AD61" s="2">
        <f t="shared" ca="1" si="12"/>
        <v>0</v>
      </c>
      <c r="AE61" s="2">
        <f t="shared" ca="1" si="12"/>
        <v>5000</v>
      </c>
      <c r="AF61" s="2">
        <f t="shared" ca="1" si="12"/>
        <v>5000</v>
      </c>
      <c r="AG61" s="2">
        <f t="shared" ca="1" si="12"/>
        <v>5000</v>
      </c>
      <c r="AH61" s="2">
        <f t="shared" ca="1" si="12"/>
        <v>10000</v>
      </c>
      <c r="AI61" s="2">
        <f t="shared" ca="1" si="12"/>
        <v>10000</v>
      </c>
      <c r="AJ61" s="2">
        <f t="shared" ca="1" si="12"/>
        <v>5000</v>
      </c>
      <c r="AK61" s="2">
        <f t="shared" ca="1" si="12"/>
        <v>10000</v>
      </c>
      <c r="AL61" s="2">
        <f t="shared" ca="1" si="12"/>
        <v>10000</v>
      </c>
      <c r="AM61" s="2">
        <f t="shared" ca="1" si="12"/>
        <v>10000</v>
      </c>
      <c r="AN61" s="2">
        <f t="shared" ca="1" si="12"/>
        <v>10000</v>
      </c>
      <c r="AO61" s="2">
        <f t="shared" ca="1" si="12"/>
        <v>15000</v>
      </c>
      <c r="AP61" s="2">
        <f t="shared" ca="1" si="12"/>
        <v>10000</v>
      </c>
      <c r="AQ61" s="2">
        <f t="shared" ca="1" si="12"/>
        <v>15000</v>
      </c>
      <c r="AR61" s="2">
        <f t="shared" ca="1" si="12"/>
        <v>15000</v>
      </c>
      <c r="AS61" s="2">
        <f t="shared" ca="1" si="12"/>
        <v>15000</v>
      </c>
      <c r="AT61" s="2">
        <f t="shared" ca="1" si="12"/>
        <v>20000</v>
      </c>
      <c r="AU61" s="2">
        <f t="shared" ca="1" si="12"/>
        <v>20000</v>
      </c>
      <c r="AV61" s="2">
        <f t="shared" ca="1" si="12"/>
        <v>20000</v>
      </c>
      <c r="AW61" s="2">
        <f t="shared" ca="1" si="12"/>
        <v>25000</v>
      </c>
      <c r="AX61" s="2">
        <f t="shared" ca="1" si="12"/>
        <v>20000</v>
      </c>
      <c r="AY61" s="2">
        <f t="shared" ca="1" si="12"/>
        <v>25000</v>
      </c>
      <c r="AZ61" s="2">
        <f t="shared" ca="1" si="12"/>
        <v>30000</v>
      </c>
      <c r="BA61" s="2">
        <f t="shared" ca="1" si="12"/>
        <v>25000</v>
      </c>
      <c r="BB61" s="2">
        <f t="shared" ca="1" si="12"/>
        <v>30000</v>
      </c>
      <c r="BC61" s="2">
        <f t="shared" ca="1" si="12"/>
        <v>30000</v>
      </c>
      <c r="BD61" s="2">
        <f t="shared" ca="1" si="12"/>
        <v>35000</v>
      </c>
      <c r="BE61" s="2">
        <f t="shared" ca="1" si="12"/>
        <v>35000</v>
      </c>
      <c r="BF61" s="2">
        <f t="shared" ca="1" si="12"/>
        <v>35000</v>
      </c>
      <c r="BG61" s="2">
        <f t="shared" ca="1" si="12"/>
        <v>40000</v>
      </c>
      <c r="BH61" s="2">
        <f t="shared" ca="1" si="12"/>
        <v>40000</v>
      </c>
      <c r="BI61" s="2">
        <f t="shared" ca="1" si="12"/>
        <v>45000</v>
      </c>
      <c r="BJ61" s="2">
        <f t="shared" ca="1" si="12"/>
        <v>45000</v>
      </c>
      <c r="BK61" s="2">
        <f t="shared" ca="1" si="12"/>
        <v>50000</v>
      </c>
      <c r="BL61" s="2">
        <f t="shared" ca="1" si="12"/>
        <v>50000</v>
      </c>
      <c r="BM61" s="2">
        <f t="shared" ca="1" si="12"/>
        <v>55000</v>
      </c>
      <c r="BN61" s="2">
        <f t="shared" ca="1" si="12"/>
        <v>60000</v>
      </c>
      <c r="BO61" s="2">
        <f t="shared" ca="1" si="12"/>
        <v>60000</v>
      </c>
      <c r="BP61" s="2">
        <f t="shared" ca="1" si="12"/>
        <v>65000</v>
      </c>
      <c r="BQ61" s="2">
        <f t="shared" ca="1" si="12"/>
        <v>70000</v>
      </c>
    </row>
    <row r="62" spans="1:69">
      <c r="D62" s="91" t="s">
        <v>219</v>
      </c>
      <c r="E62" s="2" t="str">
        <f t="shared" ref="E62:BQ62" si="13" xml:space="preserve">  E$77</f>
        <v>Units retired</v>
      </c>
      <c r="F62" s="2">
        <f t="shared" si="13"/>
        <v>0</v>
      </c>
      <c r="G62" s="2" t="str">
        <f t="shared" si="13"/>
        <v>Units</v>
      </c>
      <c r="H62" s="2">
        <f t="shared" ca="1" si="13"/>
        <v>339457.30617658654</v>
      </c>
      <c r="I62" s="2">
        <f t="shared" si="13"/>
        <v>0</v>
      </c>
      <c r="J62" s="2">
        <f t="shared" ca="1" si="13"/>
        <v>0</v>
      </c>
      <c r="K62" s="2">
        <f t="shared" ca="1" si="13"/>
        <v>0</v>
      </c>
      <c r="L62" s="2">
        <f t="shared" ca="1" si="13"/>
        <v>0</v>
      </c>
      <c r="M62" s="2">
        <f t="shared" ca="1" si="13"/>
        <v>0</v>
      </c>
      <c r="N62" s="2">
        <f t="shared" ca="1" si="13"/>
        <v>0</v>
      </c>
      <c r="O62" s="2">
        <f t="shared" ca="1" si="13"/>
        <v>0</v>
      </c>
      <c r="P62" s="2">
        <f t="shared" ca="1" si="13"/>
        <v>0</v>
      </c>
      <c r="Q62" s="2">
        <f t="shared" ca="1" si="13"/>
        <v>0</v>
      </c>
      <c r="R62" s="2">
        <f t="shared" ca="1" si="13"/>
        <v>0</v>
      </c>
      <c r="S62" s="2">
        <f t="shared" ca="1" si="13"/>
        <v>0</v>
      </c>
      <c r="T62" s="2">
        <f t="shared" ca="1" si="13"/>
        <v>0</v>
      </c>
      <c r="U62" s="2">
        <f t="shared" ca="1" si="13"/>
        <v>0</v>
      </c>
      <c r="V62" s="2">
        <f t="shared" ca="1" si="13"/>
        <v>0</v>
      </c>
      <c r="W62" s="2">
        <f t="shared" ca="1" si="13"/>
        <v>0</v>
      </c>
      <c r="X62" s="2">
        <f t="shared" ca="1" si="13"/>
        <v>0</v>
      </c>
      <c r="Y62" s="2">
        <f t="shared" ca="1" si="13"/>
        <v>0</v>
      </c>
      <c r="Z62" s="2">
        <f t="shared" ca="1" si="13"/>
        <v>0</v>
      </c>
      <c r="AA62" s="2">
        <f t="shared" ca="1" si="13"/>
        <v>0</v>
      </c>
      <c r="AB62" s="2">
        <f t="shared" ca="1" si="13"/>
        <v>0</v>
      </c>
      <c r="AC62" s="2">
        <f t="shared" ca="1" si="13"/>
        <v>0</v>
      </c>
      <c r="AD62" s="2">
        <f t="shared" ca="1" si="13"/>
        <v>0</v>
      </c>
      <c r="AE62" s="2">
        <f t="shared" ca="1" si="13"/>
        <v>0</v>
      </c>
      <c r="AF62" s="2">
        <f t="shared" ca="1" si="13"/>
        <v>0</v>
      </c>
      <c r="AG62" s="2">
        <f t="shared" ca="1" si="13"/>
        <v>0</v>
      </c>
      <c r="AH62" s="2">
        <f t="shared" ca="1" si="13"/>
        <v>1000</v>
      </c>
      <c r="AI62" s="2">
        <f t="shared" ca="1" si="13"/>
        <v>1000</v>
      </c>
      <c r="AJ62" s="2">
        <f t="shared" ca="1" si="13"/>
        <v>1000</v>
      </c>
      <c r="AK62" s="2">
        <f t="shared" ca="1" si="13"/>
        <v>1000</v>
      </c>
      <c r="AL62" s="2">
        <f t="shared" ca="1" si="13"/>
        <v>3000</v>
      </c>
      <c r="AM62" s="2">
        <f t="shared" ca="1" si="13"/>
        <v>3000</v>
      </c>
      <c r="AN62" s="2">
        <f t="shared" ca="1" si="13"/>
        <v>3000</v>
      </c>
      <c r="AO62" s="2">
        <f t="shared" ca="1" si="13"/>
        <v>5000</v>
      </c>
      <c r="AP62" s="2">
        <f t="shared" ca="1" si="13"/>
        <v>5000</v>
      </c>
      <c r="AQ62" s="2">
        <f t="shared" ca="1" si="13"/>
        <v>5000</v>
      </c>
      <c r="AR62" s="2">
        <f t="shared" ca="1" si="13"/>
        <v>5000</v>
      </c>
      <c r="AS62" s="2">
        <f t="shared" ca="1" si="13"/>
        <v>5000</v>
      </c>
      <c r="AT62" s="2">
        <f t="shared" ca="1" si="13"/>
        <v>5297.3154717964762</v>
      </c>
      <c r="AU62" s="2">
        <f t="shared" ca="1" si="13"/>
        <v>5612.3102415468647</v>
      </c>
      <c r="AV62" s="2">
        <f t="shared" ca="1" si="13"/>
        <v>5946.035575013605</v>
      </c>
      <c r="AW62" s="2">
        <f t="shared" ca="1" si="13"/>
        <v>6299.6052494743653</v>
      </c>
      <c r="AX62" s="2">
        <f t="shared" ca="1" si="13"/>
        <v>6674.1992708501712</v>
      </c>
      <c r="AY62" s="2">
        <f t="shared" ca="1" si="13"/>
        <v>7071.0678118654751</v>
      </c>
      <c r="AZ62" s="2">
        <f t="shared" ca="1" si="13"/>
        <v>7491.5353843834073</v>
      </c>
      <c r="BA62" s="2">
        <f t="shared" ca="1" si="13"/>
        <v>7937.0052598409975</v>
      </c>
      <c r="BB62" s="2">
        <f t="shared" ca="1" si="13"/>
        <v>8408.9641525371462</v>
      </c>
      <c r="BC62" s="2">
        <f t="shared" ca="1" si="13"/>
        <v>8908.9871814033941</v>
      </c>
      <c r="BD62" s="2">
        <f t="shared" ca="1" si="13"/>
        <v>9438.7431268169366</v>
      </c>
      <c r="BE62" s="2">
        <f t="shared" ca="1" si="13"/>
        <v>10000.000000000002</v>
      </c>
      <c r="BF62" s="2">
        <f t="shared" ca="1" si="13"/>
        <v>11494.630943592954</v>
      </c>
      <c r="BG62" s="2">
        <f t="shared" ca="1" si="13"/>
        <v>12124.620483093731</v>
      </c>
      <c r="BH62" s="2">
        <f t="shared" ca="1" si="13"/>
        <v>12792.071150027214</v>
      </c>
      <c r="BI62" s="2">
        <f t="shared" ca="1" si="13"/>
        <v>13499.210498948736</v>
      </c>
      <c r="BJ62" s="2">
        <f t="shared" ca="1" si="13"/>
        <v>16048.39854170035</v>
      </c>
      <c r="BK62" s="2">
        <f t="shared" ca="1" si="13"/>
        <v>16842.135623730959</v>
      </c>
      <c r="BL62" s="2">
        <f t="shared" ca="1" si="13"/>
        <v>17683.070768766825</v>
      </c>
      <c r="BM62" s="2">
        <f t="shared" ca="1" si="13"/>
        <v>20374.010519682004</v>
      </c>
      <c r="BN62" s="2">
        <f t="shared" ca="1" si="13"/>
        <v>21317.9283050743</v>
      </c>
      <c r="BO62" s="2">
        <f t="shared" ca="1" si="13"/>
        <v>22317.974362806795</v>
      </c>
      <c r="BP62" s="2">
        <f t="shared" ca="1" si="13"/>
        <v>23377.486253633881</v>
      </c>
      <c r="BQ62" s="2">
        <f t="shared" ca="1" si="13"/>
        <v>24500.000000000011</v>
      </c>
    </row>
    <row r="63" spans="1:69">
      <c r="D63" s="91" t="s">
        <v>300</v>
      </c>
      <c r="E63" s="2" t="str">
        <f t="shared" ref="E63:BQ63" si="14" xml:space="preserve">  E$54</f>
        <v>Units deployed</v>
      </c>
      <c r="F63" s="2">
        <f t="shared" si="14"/>
        <v>0</v>
      </c>
      <c r="G63" s="2" t="str">
        <f t="shared" si="14"/>
        <v>Units</v>
      </c>
      <c r="H63" s="2">
        <f t="shared" ca="1" si="14"/>
        <v>1066000</v>
      </c>
      <c r="I63" s="2">
        <f t="shared" si="14"/>
        <v>0</v>
      </c>
      <c r="J63" s="2">
        <f t="shared" si="14"/>
        <v>0</v>
      </c>
      <c r="K63" s="2">
        <f t="shared" ca="1" si="14"/>
        <v>1000</v>
      </c>
      <c r="L63" s="2">
        <f t="shared" ca="1" si="14"/>
        <v>1000</v>
      </c>
      <c r="M63" s="2">
        <f t="shared" ca="1" si="14"/>
        <v>1000</v>
      </c>
      <c r="N63" s="2">
        <f t="shared" ca="1" si="14"/>
        <v>1000</v>
      </c>
      <c r="O63" s="2">
        <f t="shared" ca="1" si="14"/>
        <v>2000</v>
      </c>
      <c r="P63" s="2">
        <f t="shared" ca="1" si="14"/>
        <v>4000</v>
      </c>
      <c r="Q63" s="2">
        <f t="shared" ca="1" si="14"/>
        <v>3000</v>
      </c>
      <c r="R63" s="2">
        <f t="shared" ca="1" si="14"/>
        <v>3000</v>
      </c>
      <c r="S63" s="2">
        <f t="shared" ca="1" si="14"/>
        <v>0</v>
      </c>
      <c r="T63" s="2">
        <f t="shared" ca="1" si="14"/>
        <v>10000</v>
      </c>
      <c r="U63" s="2">
        <f t="shared" ca="1" si="14"/>
        <v>0</v>
      </c>
      <c r="V63" s="2">
        <f t="shared" ca="1" si="14"/>
        <v>10000</v>
      </c>
      <c r="W63" s="2">
        <f t="shared" ca="1" si="14"/>
        <v>7297.3154717964753</v>
      </c>
      <c r="X63" s="2">
        <f t="shared" ca="1" si="14"/>
        <v>2702.6845282035247</v>
      </c>
      <c r="Y63" s="2">
        <f t="shared" ca="1" si="14"/>
        <v>8855.6612883569433</v>
      </c>
      <c r="Z63" s="2">
        <f t="shared" ca="1" si="14"/>
        <v>1144.3387116430567</v>
      </c>
      <c r="AA63" s="2">
        <f t="shared" ca="1" si="14"/>
        <v>0</v>
      </c>
      <c r="AB63" s="2">
        <f t="shared" ca="1" si="14"/>
        <v>0</v>
      </c>
      <c r="AC63" s="2">
        <f t="shared" ca="1" si="14"/>
        <v>0</v>
      </c>
      <c r="AD63" s="2">
        <f t="shared" ca="1" si="14"/>
        <v>0</v>
      </c>
      <c r="AE63" s="2">
        <f t="shared" ca="1" si="14"/>
        <v>0</v>
      </c>
      <c r="AF63" s="2">
        <f t="shared" ca="1" si="14"/>
        <v>5000</v>
      </c>
      <c r="AG63" s="2">
        <f t="shared" ca="1" si="14"/>
        <v>5000</v>
      </c>
      <c r="AH63" s="2">
        <f t="shared" ca="1" si="14"/>
        <v>5000</v>
      </c>
      <c r="AI63" s="2">
        <f t="shared" ca="1" si="14"/>
        <v>10000</v>
      </c>
      <c r="AJ63" s="2">
        <f t="shared" ca="1" si="14"/>
        <v>10000</v>
      </c>
      <c r="AK63" s="2">
        <f t="shared" ca="1" si="14"/>
        <v>5000</v>
      </c>
      <c r="AL63" s="2">
        <f t="shared" ca="1" si="14"/>
        <v>10000</v>
      </c>
      <c r="AM63" s="2">
        <f t="shared" ca="1" si="14"/>
        <v>10000</v>
      </c>
      <c r="AN63" s="2">
        <f t="shared" ca="1" si="14"/>
        <v>10000</v>
      </c>
      <c r="AO63" s="2">
        <f t="shared" ca="1" si="14"/>
        <v>10000</v>
      </c>
      <c r="AP63" s="2">
        <f t="shared" ca="1" si="14"/>
        <v>15000</v>
      </c>
      <c r="AQ63" s="2">
        <f t="shared" ca="1" si="14"/>
        <v>10000</v>
      </c>
      <c r="AR63" s="2">
        <f t="shared" ca="1" si="14"/>
        <v>15000</v>
      </c>
      <c r="AS63" s="2">
        <f t="shared" ca="1" si="14"/>
        <v>15000</v>
      </c>
      <c r="AT63" s="2">
        <f t="shared" ca="1" si="14"/>
        <v>15000</v>
      </c>
      <c r="AU63" s="2">
        <f t="shared" ca="1" si="14"/>
        <v>20000</v>
      </c>
      <c r="AV63" s="2">
        <f t="shared" ca="1" si="14"/>
        <v>20000</v>
      </c>
      <c r="AW63" s="2">
        <f t="shared" ca="1" si="14"/>
        <v>20000</v>
      </c>
      <c r="AX63" s="2">
        <f t="shared" ca="1" si="14"/>
        <v>25000</v>
      </c>
      <c r="AY63" s="2">
        <f t="shared" ca="1" si="14"/>
        <v>20000</v>
      </c>
      <c r="AZ63" s="2">
        <f t="shared" ca="1" si="14"/>
        <v>25000</v>
      </c>
      <c r="BA63" s="2">
        <f t="shared" ca="1" si="14"/>
        <v>30000</v>
      </c>
      <c r="BB63" s="2">
        <f t="shared" ca="1" si="14"/>
        <v>25000</v>
      </c>
      <c r="BC63" s="2">
        <f t="shared" ca="1" si="14"/>
        <v>30000</v>
      </c>
      <c r="BD63" s="2">
        <f t="shared" ca="1" si="14"/>
        <v>30000.000000000004</v>
      </c>
      <c r="BE63" s="2">
        <f t="shared" ca="1" si="14"/>
        <v>35000</v>
      </c>
      <c r="BF63" s="2">
        <f t="shared" ca="1" si="14"/>
        <v>35000</v>
      </c>
      <c r="BG63" s="2">
        <f t="shared" ca="1" si="14"/>
        <v>35000</v>
      </c>
      <c r="BH63" s="2">
        <f t="shared" ca="1" si="14"/>
        <v>40000</v>
      </c>
      <c r="BI63" s="2">
        <f t="shared" ca="1" si="14"/>
        <v>40000</v>
      </c>
      <c r="BJ63" s="2">
        <f t="shared" ca="1" si="14"/>
        <v>45000</v>
      </c>
      <c r="BK63" s="2">
        <f t="shared" ca="1" si="14"/>
        <v>45000</v>
      </c>
      <c r="BL63" s="2">
        <f t="shared" ca="1" si="14"/>
        <v>49999.999999999993</v>
      </c>
      <c r="BM63" s="2">
        <f t="shared" ca="1" si="14"/>
        <v>50000.000000000007</v>
      </c>
      <c r="BN63" s="2">
        <f t="shared" ca="1" si="14"/>
        <v>54999.999999999985</v>
      </c>
      <c r="BO63" s="2">
        <f t="shared" ca="1" si="14"/>
        <v>60000</v>
      </c>
      <c r="BP63" s="2">
        <f t="shared" ca="1" si="14"/>
        <v>60000</v>
      </c>
      <c r="BQ63" s="2">
        <f t="shared" ca="1" si="14"/>
        <v>65000</v>
      </c>
    </row>
    <row r="64" spans="1:69">
      <c r="D64" s="91" t="s">
        <v>300</v>
      </c>
      <c r="E64" s="2" t="str">
        <f t="shared" ref="E64:BQ64" si="15" xml:space="preserve">  E$18</f>
        <v>Deployed units returned</v>
      </c>
      <c r="F64" s="2">
        <f t="shared" si="15"/>
        <v>0</v>
      </c>
      <c r="G64" s="2" t="str">
        <f t="shared" si="15"/>
        <v>Units</v>
      </c>
      <c r="H64" s="2">
        <f t="shared" ca="1" si="15"/>
        <v>339457.30617658654</v>
      </c>
      <c r="I64" s="2">
        <f t="shared" si="15"/>
        <v>0</v>
      </c>
      <c r="J64" s="2">
        <f t="shared" ca="1" si="15"/>
        <v>0</v>
      </c>
      <c r="K64" s="2">
        <f t="shared" ca="1" si="15"/>
        <v>0</v>
      </c>
      <c r="L64" s="2">
        <f t="shared" ca="1" si="15"/>
        <v>0</v>
      </c>
      <c r="M64" s="2">
        <f t="shared" ca="1" si="15"/>
        <v>0</v>
      </c>
      <c r="N64" s="2">
        <f t="shared" ca="1" si="15"/>
        <v>0</v>
      </c>
      <c r="O64" s="2">
        <f t="shared" ca="1" si="15"/>
        <v>0</v>
      </c>
      <c r="P64" s="2">
        <f t="shared" ca="1" si="15"/>
        <v>0</v>
      </c>
      <c r="Q64" s="2">
        <f t="shared" ca="1" si="15"/>
        <v>0</v>
      </c>
      <c r="R64" s="2">
        <f t="shared" ca="1" si="15"/>
        <v>0</v>
      </c>
      <c r="S64" s="2">
        <f t="shared" ca="1" si="15"/>
        <v>0</v>
      </c>
      <c r="T64" s="2">
        <f t="shared" ca="1" si="15"/>
        <v>0</v>
      </c>
      <c r="U64" s="2">
        <f t="shared" ca="1" si="15"/>
        <v>0</v>
      </c>
      <c r="V64" s="2">
        <f t="shared" ca="1" si="15"/>
        <v>0</v>
      </c>
      <c r="W64" s="2">
        <f t="shared" ca="1" si="15"/>
        <v>0</v>
      </c>
      <c r="X64" s="2">
        <f t="shared" ca="1" si="15"/>
        <v>0</v>
      </c>
      <c r="Y64" s="2">
        <f t="shared" ca="1" si="15"/>
        <v>0</v>
      </c>
      <c r="Z64" s="2">
        <f t="shared" ca="1" si="15"/>
        <v>0</v>
      </c>
      <c r="AA64" s="2">
        <f t="shared" ca="1" si="15"/>
        <v>0</v>
      </c>
      <c r="AB64" s="2">
        <f t="shared" ca="1" si="15"/>
        <v>0</v>
      </c>
      <c r="AC64" s="2">
        <f t="shared" ca="1" si="15"/>
        <v>0</v>
      </c>
      <c r="AD64" s="2">
        <f t="shared" ca="1" si="15"/>
        <v>0</v>
      </c>
      <c r="AE64" s="2">
        <f t="shared" ca="1" si="15"/>
        <v>0</v>
      </c>
      <c r="AF64" s="2">
        <f t="shared" ca="1" si="15"/>
        <v>0</v>
      </c>
      <c r="AG64" s="2">
        <f t="shared" ca="1" si="15"/>
        <v>0</v>
      </c>
      <c r="AH64" s="2">
        <f t="shared" ca="1" si="15"/>
        <v>1000</v>
      </c>
      <c r="AI64" s="2">
        <f t="shared" ca="1" si="15"/>
        <v>1000</v>
      </c>
      <c r="AJ64" s="2">
        <f t="shared" ca="1" si="15"/>
        <v>1000</v>
      </c>
      <c r="AK64" s="2">
        <f t="shared" ca="1" si="15"/>
        <v>1000</v>
      </c>
      <c r="AL64" s="2">
        <f t="shared" ca="1" si="15"/>
        <v>3000</v>
      </c>
      <c r="AM64" s="2">
        <f t="shared" ca="1" si="15"/>
        <v>3000</v>
      </c>
      <c r="AN64" s="2">
        <f t="shared" ca="1" si="15"/>
        <v>3000</v>
      </c>
      <c r="AO64" s="2">
        <f t="shared" ca="1" si="15"/>
        <v>5000</v>
      </c>
      <c r="AP64" s="2">
        <f t="shared" ca="1" si="15"/>
        <v>5000</v>
      </c>
      <c r="AQ64" s="2">
        <f t="shared" ca="1" si="15"/>
        <v>5000</v>
      </c>
      <c r="AR64" s="2">
        <f t="shared" ca="1" si="15"/>
        <v>5000</v>
      </c>
      <c r="AS64" s="2">
        <f t="shared" ca="1" si="15"/>
        <v>5000</v>
      </c>
      <c r="AT64" s="2">
        <f t="shared" ca="1" si="15"/>
        <v>5297.3154717964762</v>
      </c>
      <c r="AU64" s="2">
        <f t="shared" ca="1" si="15"/>
        <v>5612.3102415468647</v>
      </c>
      <c r="AV64" s="2">
        <f t="shared" ca="1" si="15"/>
        <v>5946.035575013605</v>
      </c>
      <c r="AW64" s="2">
        <f t="shared" ca="1" si="15"/>
        <v>6299.6052494743653</v>
      </c>
      <c r="AX64" s="2">
        <f t="shared" ca="1" si="15"/>
        <v>6674.1992708501712</v>
      </c>
      <c r="AY64" s="2">
        <f t="shared" ca="1" si="15"/>
        <v>7071.0678118654751</v>
      </c>
      <c r="AZ64" s="2">
        <f t="shared" ca="1" si="15"/>
        <v>7491.5353843834073</v>
      </c>
      <c r="BA64" s="2">
        <f t="shared" ca="1" si="15"/>
        <v>7937.0052598409975</v>
      </c>
      <c r="BB64" s="2">
        <f t="shared" ca="1" si="15"/>
        <v>8408.9641525371462</v>
      </c>
      <c r="BC64" s="2">
        <f t="shared" ca="1" si="15"/>
        <v>8908.9871814033941</v>
      </c>
      <c r="BD64" s="2">
        <f t="shared" ca="1" si="15"/>
        <v>9438.7431268169366</v>
      </c>
      <c r="BE64" s="2">
        <f t="shared" ca="1" si="15"/>
        <v>10000.000000000002</v>
      </c>
      <c r="BF64" s="2">
        <f t="shared" ca="1" si="15"/>
        <v>11494.630943592954</v>
      </c>
      <c r="BG64" s="2">
        <f t="shared" ca="1" si="15"/>
        <v>12124.620483093731</v>
      </c>
      <c r="BH64" s="2">
        <f t="shared" ca="1" si="15"/>
        <v>12792.071150027214</v>
      </c>
      <c r="BI64" s="2">
        <f t="shared" ca="1" si="15"/>
        <v>13499.210498948736</v>
      </c>
      <c r="BJ64" s="2">
        <f t="shared" ca="1" si="15"/>
        <v>16048.39854170035</v>
      </c>
      <c r="BK64" s="2">
        <f t="shared" ca="1" si="15"/>
        <v>16842.135623730959</v>
      </c>
      <c r="BL64" s="2">
        <f t="shared" ca="1" si="15"/>
        <v>17683.070768766825</v>
      </c>
      <c r="BM64" s="2">
        <f t="shared" ca="1" si="15"/>
        <v>20374.010519682004</v>
      </c>
      <c r="BN64" s="2">
        <f t="shared" ca="1" si="15"/>
        <v>21317.9283050743</v>
      </c>
      <c r="BO64" s="2">
        <f t="shared" ca="1" si="15"/>
        <v>22317.974362806795</v>
      </c>
      <c r="BP64" s="2">
        <f t="shared" ca="1" si="15"/>
        <v>23377.486253633881</v>
      </c>
      <c r="BQ64" s="2">
        <f t="shared" ca="1" si="15"/>
        <v>24500.000000000011</v>
      </c>
    </row>
    <row r="65" spans="1:69" s="81" customFormat="1">
      <c r="A65" s="63"/>
      <c r="B65" s="63"/>
      <c r="C65" s="88"/>
      <c r="D65" s="90"/>
      <c r="E65" s="33" t="s">
        <v>131</v>
      </c>
      <c r="F65" s="33"/>
      <c r="G65" s="33" t="s">
        <v>123</v>
      </c>
      <c r="H65" s="33"/>
      <c r="I65" s="11">
        <f t="shared" ref="I65:BQ65" si="16" xml:space="preserve">  IF( I59 = 0, $F58, I60 + I61 - I63 + I64 - I62 )</f>
        <v>1000</v>
      </c>
      <c r="J65" s="11">
        <f t="shared" ca="1" si="16"/>
        <v>1000</v>
      </c>
      <c r="K65" s="11">
        <f t="shared" ca="1" si="16"/>
        <v>5000</v>
      </c>
      <c r="L65" s="11">
        <f t="shared" ca="1" si="16"/>
        <v>4000</v>
      </c>
      <c r="M65" s="11">
        <f t="shared" ca="1" si="16"/>
        <v>3000</v>
      </c>
      <c r="N65" s="11">
        <f t="shared" ca="1" si="16"/>
        <v>2000</v>
      </c>
      <c r="O65" s="11">
        <f t="shared" ca="1" si="16"/>
        <v>10000</v>
      </c>
      <c r="P65" s="11">
        <f t="shared" ca="1" si="16"/>
        <v>6000</v>
      </c>
      <c r="Q65" s="11">
        <f t="shared" ca="1" si="16"/>
        <v>3000</v>
      </c>
      <c r="R65" s="11">
        <f t="shared" ca="1" si="16"/>
        <v>0</v>
      </c>
      <c r="S65" s="11">
        <f t="shared" ca="1" si="16"/>
        <v>10000</v>
      </c>
      <c r="T65" s="11">
        <f t="shared" ca="1" si="16"/>
        <v>0</v>
      </c>
      <c r="U65" s="11">
        <f t="shared" ca="1" si="16"/>
        <v>10000</v>
      </c>
      <c r="V65" s="11">
        <f t="shared" ca="1" si="16"/>
        <v>10000</v>
      </c>
      <c r="W65" s="11">
        <f t="shared" ca="1" si="16"/>
        <v>2702.6845282035247</v>
      </c>
      <c r="X65" s="11">
        <f t="shared" ca="1" si="16"/>
        <v>10000</v>
      </c>
      <c r="Y65" s="11">
        <f t="shared" ca="1" si="16"/>
        <v>1144.3387116430567</v>
      </c>
      <c r="Z65" s="11">
        <f t="shared" ca="1" si="16"/>
        <v>0</v>
      </c>
      <c r="AA65" s="11">
        <f t="shared" ca="1" si="16"/>
        <v>0</v>
      </c>
      <c r="AB65" s="11">
        <f t="shared" ca="1" si="16"/>
        <v>0</v>
      </c>
      <c r="AC65" s="11">
        <f t="shared" ca="1" si="16"/>
        <v>0</v>
      </c>
      <c r="AD65" s="11">
        <f t="shared" ca="1" si="16"/>
        <v>0</v>
      </c>
      <c r="AE65" s="11">
        <f t="shared" ca="1" si="16"/>
        <v>5000</v>
      </c>
      <c r="AF65" s="11">
        <f t="shared" ca="1" si="16"/>
        <v>5000</v>
      </c>
      <c r="AG65" s="11">
        <f t="shared" ca="1" si="16"/>
        <v>5000</v>
      </c>
      <c r="AH65" s="11">
        <f t="shared" ca="1" si="16"/>
        <v>10000</v>
      </c>
      <c r="AI65" s="11">
        <f t="shared" ca="1" si="16"/>
        <v>10000</v>
      </c>
      <c r="AJ65" s="11">
        <f t="shared" ca="1" si="16"/>
        <v>5000</v>
      </c>
      <c r="AK65" s="11">
        <f t="shared" ca="1" si="16"/>
        <v>10000</v>
      </c>
      <c r="AL65" s="11">
        <f t="shared" ca="1" si="16"/>
        <v>10000</v>
      </c>
      <c r="AM65" s="11">
        <f t="shared" ca="1" si="16"/>
        <v>10000</v>
      </c>
      <c r="AN65" s="11">
        <f t="shared" ca="1" si="16"/>
        <v>10000</v>
      </c>
      <c r="AO65" s="11">
        <f t="shared" ca="1" si="16"/>
        <v>15000</v>
      </c>
      <c r="AP65" s="11">
        <f t="shared" ca="1" si="16"/>
        <v>10000</v>
      </c>
      <c r="AQ65" s="11">
        <f t="shared" ca="1" si="16"/>
        <v>15000</v>
      </c>
      <c r="AR65" s="11">
        <f t="shared" ca="1" si="16"/>
        <v>15000</v>
      </c>
      <c r="AS65" s="11">
        <f t="shared" ca="1" si="16"/>
        <v>15000</v>
      </c>
      <c r="AT65" s="11">
        <f t="shared" ca="1" si="16"/>
        <v>20000</v>
      </c>
      <c r="AU65" s="11">
        <f t="shared" ca="1" si="16"/>
        <v>20000</v>
      </c>
      <c r="AV65" s="11">
        <f t="shared" ca="1" si="16"/>
        <v>20000</v>
      </c>
      <c r="AW65" s="11">
        <f t="shared" ca="1" si="16"/>
        <v>25000</v>
      </c>
      <c r="AX65" s="11">
        <f t="shared" ca="1" si="16"/>
        <v>20000</v>
      </c>
      <c r="AY65" s="11">
        <f t="shared" ca="1" si="16"/>
        <v>25000</v>
      </c>
      <c r="AZ65" s="11">
        <f t="shared" ca="1" si="16"/>
        <v>30000</v>
      </c>
      <c r="BA65" s="11">
        <f t="shared" ca="1" si="16"/>
        <v>25000</v>
      </c>
      <c r="BB65" s="11">
        <f t="shared" ca="1" si="16"/>
        <v>30000</v>
      </c>
      <c r="BC65" s="11">
        <f t="shared" ca="1" si="16"/>
        <v>30000.000000000004</v>
      </c>
      <c r="BD65" s="11">
        <f t="shared" ca="1" si="16"/>
        <v>35000</v>
      </c>
      <c r="BE65" s="11">
        <f t="shared" ca="1" si="16"/>
        <v>35000</v>
      </c>
      <c r="BF65" s="11">
        <f t="shared" ca="1" si="16"/>
        <v>35000</v>
      </c>
      <c r="BG65" s="11">
        <f t="shared" ca="1" si="16"/>
        <v>40000</v>
      </c>
      <c r="BH65" s="11">
        <f t="shared" ca="1" si="16"/>
        <v>40000</v>
      </c>
      <c r="BI65" s="11">
        <f t="shared" ca="1" si="16"/>
        <v>45000</v>
      </c>
      <c r="BJ65" s="11">
        <f t="shared" ca="1" si="16"/>
        <v>45000</v>
      </c>
      <c r="BK65" s="11">
        <f t="shared" ca="1" si="16"/>
        <v>49999.999999999993</v>
      </c>
      <c r="BL65" s="11">
        <f t="shared" ca="1" si="16"/>
        <v>50000.000000000007</v>
      </c>
      <c r="BM65" s="11">
        <f t="shared" ca="1" si="16"/>
        <v>54999.999999999985</v>
      </c>
      <c r="BN65" s="11">
        <f t="shared" ca="1" si="16"/>
        <v>60000</v>
      </c>
      <c r="BO65" s="11">
        <f t="shared" ca="1" si="16"/>
        <v>60000</v>
      </c>
      <c r="BP65" s="11">
        <f t="shared" ca="1" si="16"/>
        <v>65000</v>
      </c>
      <c r="BQ65" s="11">
        <f t="shared" ca="1" si="16"/>
        <v>70000</v>
      </c>
    </row>
    <row r="67" spans="1:69">
      <c r="B67" s="25" t="s">
        <v>221</v>
      </c>
    </row>
    <row r="68" spans="1:69" s="82" customFormat="1">
      <c r="A68" s="59"/>
      <c r="B68" s="59"/>
      <c r="C68" s="87"/>
      <c r="D68" s="84"/>
      <c r="E68" s="40" t="str">
        <f xml:space="preserve">  InpC!E$42</f>
        <v>Opening Units in use</v>
      </c>
      <c r="F68" s="40">
        <f xml:space="preserve">  InpC!F$42</f>
        <v>1500</v>
      </c>
      <c r="G68" s="40" t="str">
        <f xml:space="preserve">  InpC!G$42</f>
        <v>Units</v>
      </c>
      <c r="M68" s="80"/>
    </row>
    <row r="69" spans="1:69">
      <c r="A69" s="18"/>
      <c r="B69" s="18"/>
      <c r="C69" s="28"/>
      <c r="D69" s="27"/>
      <c r="E69" s="9" t="str">
        <f xml:space="preserve">  Time!E$28</f>
        <v>Period number</v>
      </c>
      <c r="F69" s="9">
        <f xml:space="preserve">  Time!F$28</f>
        <v>0</v>
      </c>
      <c r="G69" s="9" t="str">
        <f xml:space="preserve">  Time!G$28</f>
        <v>Counter</v>
      </c>
      <c r="H69" s="9">
        <f xml:space="preserve">  Time!H$28</f>
        <v>0</v>
      </c>
      <c r="I69" s="9">
        <f xml:space="preserve">  Time!I$28</f>
        <v>0</v>
      </c>
      <c r="J69" s="9">
        <f xml:space="preserve">  Time!J$28</f>
        <v>1</v>
      </c>
      <c r="K69" s="9">
        <f xml:space="preserve">  Time!K$28</f>
        <v>2</v>
      </c>
      <c r="L69" s="9">
        <f xml:space="preserve">  Time!L$28</f>
        <v>3</v>
      </c>
      <c r="M69" s="9">
        <f xml:space="preserve">  Time!M$28</f>
        <v>4</v>
      </c>
      <c r="N69" s="9">
        <f xml:space="preserve">  Time!N$28</f>
        <v>5</v>
      </c>
      <c r="O69" s="9">
        <f xml:space="preserve">  Time!O$28</f>
        <v>6</v>
      </c>
      <c r="P69" s="9">
        <f xml:space="preserve">  Time!P$28</f>
        <v>7</v>
      </c>
      <c r="Q69" s="9">
        <f xml:space="preserve">  Time!Q$28</f>
        <v>8</v>
      </c>
      <c r="R69" s="9">
        <f xml:space="preserve">  Time!R$28</f>
        <v>9</v>
      </c>
      <c r="S69" s="9">
        <f xml:space="preserve">  Time!S$28</f>
        <v>10</v>
      </c>
      <c r="T69" s="9">
        <f xml:space="preserve">  Time!T$28</f>
        <v>11</v>
      </c>
      <c r="U69" s="9">
        <f xml:space="preserve">  Time!U$28</f>
        <v>12</v>
      </c>
      <c r="V69" s="9">
        <f xml:space="preserve">  Time!V$28</f>
        <v>13</v>
      </c>
      <c r="W69" s="9">
        <f xml:space="preserve">  Time!W$28</f>
        <v>14</v>
      </c>
      <c r="X69" s="9">
        <f xml:space="preserve">  Time!X$28</f>
        <v>15</v>
      </c>
      <c r="Y69" s="9">
        <f xml:space="preserve">  Time!Y$28</f>
        <v>16</v>
      </c>
      <c r="Z69" s="9">
        <f xml:space="preserve">  Time!Z$28</f>
        <v>17</v>
      </c>
      <c r="AA69" s="9">
        <f xml:space="preserve">  Time!AA$28</f>
        <v>18</v>
      </c>
      <c r="AB69" s="9">
        <f xml:space="preserve">  Time!AB$28</f>
        <v>19</v>
      </c>
      <c r="AC69" s="9">
        <f xml:space="preserve">  Time!AC$28</f>
        <v>20</v>
      </c>
      <c r="AD69" s="9">
        <f xml:space="preserve">  Time!AD$28</f>
        <v>21</v>
      </c>
      <c r="AE69" s="9">
        <f xml:space="preserve">  Time!AE$28</f>
        <v>22</v>
      </c>
      <c r="AF69" s="9">
        <f xml:space="preserve">  Time!AF$28</f>
        <v>23</v>
      </c>
      <c r="AG69" s="9">
        <f xml:space="preserve">  Time!AG$28</f>
        <v>24</v>
      </c>
      <c r="AH69" s="9">
        <f xml:space="preserve">  Time!AH$28</f>
        <v>25</v>
      </c>
      <c r="AI69" s="9">
        <f xml:space="preserve">  Time!AI$28</f>
        <v>26</v>
      </c>
      <c r="AJ69" s="9">
        <f xml:space="preserve">  Time!AJ$28</f>
        <v>27</v>
      </c>
      <c r="AK69" s="9">
        <f xml:space="preserve">  Time!AK$28</f>
        <v>28</v>
      </c>
      <c r="AL69" s="9">
        <f xml:space="preserve">  Time!AL$28</f>
        <v>29</v>
      </c>
      <c r="AM69" s="9">
        <f xml:space="preserve">  Time!AM$28</f>
        <v>30</v>
      </c>
      <c r="AN69" s="9">
        <f xml:space="preserve">  Time!AN$28</f>
        <v>31</v>
      </c>
      <c r="AO69" s="9">
        <f xml:space="preserve">  Time!AO$28</f>
        <v>32</v>
      </c>
      <c r="AP69" s="9">
        <f xml:space="preserve">  Time!AP$28</f>
        <v>33</v>
      </c>
      <c r="AQ69" s="9">
        <f xml:space="preserve">  Time!AQ$28</f>
        <v>34</v>
      </c>
      <c r="AR69" s="9">
        <f xml:space="preserve">  Time!AR$28</f>
        <v>35</v>
      </c>
      <c r="AS69" s="9">
        <f xml:space="preserve">  Time!AS$28</f>
        <v>36</v>
      </c>
      <c r="AT69" s="9">
        <f xml:space="preserve">  Time!AT$28</f>
        <v>37</v>
      </c>
      <c r="AU69" s="9">
        <f xml:space="preserve">  Time!AU$28</f>
        <v>38</v>
      </c>
      <c r="AV69" s="9">
        <f xml:space="preserve">  Time!AV$28</f>
        <v>39</v>
      </c>
      <c r="AW69" s="9">
        <f xml:space="preserve">  Time!AW$28</f>
        <v>40</v>
      </c>
      <c r="AX69" s="9">
        <f xml:space="preserve">  Time!AX$28</f>
        <v>41</v>
      </c>
      <c r="AY69" s="9">
        <f xml:space="preserve">  Time!AY$28</f>
        <v>42</v>
      </c>
      <c r="AZ69" s="9">
        <f xml:space="preserve">  Time!AZ$28</f>
        <v>43</v>
      </c>
      <c r="BA69" s="9">
        <f xml:space="preserve">  Time!BA$28</f>
        <v>44</v>
      </c>
      <c r="BB69" s="9">
        <f xml:space="preserve">  Time!BB$28</f>
        <v>45</v>
      </c>
      <c r="BC69" s="9">
        <f xml:space="preserve">  Time!BC$28</f>
        <v>46</v>
      </c>
      <c r="BD69" s="9">
        <f xml:space="preserve">  Time!BD$28</f>
        <v>47</v>
      </c>
      <c r="BE69" s="9">
        <f xml:space="preserve">  Time!BE$28</f>
        <v>48</v>
      </c>
      <c r="BF69" s="9">
        <f xml:space="preserve">  Time!BF$28</f>
        <v>49</v>
      </c>
      <c r="BG69" s="9">
        <f xml:space="preserve">  Time!BG$28</f>
        <v>50</v>
      </c>
      <c r="BH69" s="9">
        <f xml:space="preserve">  Time!BH$28</f>
        <v>51</v>
      </c>
      <c r="BI69" s="9">
        <f xml:space="preserve">  Time!BI$28</f>
        <v>52</v>
      </c>
      <c r="BJ69" s="9">
        <f xml:space="preserve">  Time!BJ$28</f>
        <v>53</v>
      </c>
      <c r="BK69" s="9">
        <f xml:space="preserve">  Time!BK$28</f>
        <v>54</v>
      </c>
      <c r="BL69" s="9">
        <f xml:space="preserve">  Time!BL$28</f>
        <v>55</v>
      </c>
      <c r="BM69" s="9">
        <f xml:space="preserve">  Time!BM$28</f>
        <v>56</v>
      </c>
      <c r="BN69" s="9">
        <f xml:space="preserve">  Time!BN$28</f>
        <v>57</v>
      </c>
      <c r="BO69" s="9">
        <f xml:space="preserve">  Time!BO$28</f>
        <v>58</v>
      </c>
      <c r="BP69" s="9">
        <f xml:space="preserve">  Time!BP$28</f>
        <v>59</v>
      </c>
      <c r="BQ69" s="9">
        <f xml:space="preserve">  Time!BQ$28</f>
        <v>60</v>
      </c>
    </row>
    <row r="70" spans="1:69">
      <c r="E70" s="47" t="s">
        <v>347</v>
      </c>
      <c r="G70" s="47" t="s">
        <v>123</v>
      </c>
      <c r="J70" s="2">
        <f t="shared" ref="J70:BQ70" si="17" xml:space="preserve">  I73</f>
        <v>1500</v>
      </c>
      <c r="K70" s="2">
        <f t="shared" ca="1" si="17"/>
        <v>1500</v>
      </c>
      <c r="L70" s="2">
        <f t="shared" ca="1" si="17"/>
        <v>2500</v>
      </c>
      <c r="M70" s="2">
        <f t="shared" ca="1" si="17"/>
        <v>3500</v>
      </c>
      <c r="N70" s="2">
        <f t="shared" ca="1" si="17"/>
        <v>4500</v>
      </c>
      <c r="O70" s="2">
        <f t="shared" ca="1" si="17"/>
        <v>5500</v>
      </c>
      <c r="P70" s="2">
        <f t="shared" ca="1" si="17"/>
        <v>7500</v>
      </c>
      <c r="Q70" s="2">
        <f t="shared" ca="1" si="17"/>
        <v>11500</v>
      </c>
      <c r="R70" s="2">
        <f t="shared" ca="1" si="17"/>
        <v>14500</v>
      </c>
      <c r="S70" s="2">
        <f t="shared" ca="1" si="17"/>
        <v>17500</v>
      </c>
      <c r="T70" s="2">
        <f t="shared" ca="1" si="17"/>
        <v>17500</v>
      </c>
      <c r="U70" s="2">
        <f t="shared" ca="1" si="17"/>
        <v>27500</v>
      </c>
      <c r="V70" s="2">
        <f t="shared" ca="1" si="17"/>
        <v>27500</v>
      </c>
      <c r="W70" s="2">
        <f t="shared" ca="1" si="17"/>
        <v>37500</v>
      </c>
      <c r="X70" s="2">
        <f t="shared" ca="1" si="17"/>
        <v>44797.315471796479</v>
      </c>
      <c r="Y70" s="2">
        <f t="shared" ca="1" si="17"/>
        <v>47500</v>
      </c>
      <c r="Z70" s="2">
        <f t="shared" ca="1" si="17"/>
        <v>56355.661288356947</v>
      </c>
      <c r="AA70" s="2">
        <f t="shared" ca="1" si="17"/>
        <v>57500</v>
      </c>
      <c r="AB70" s="2">
        <f t="shared" ca="1" si="17"/>
        <v>57500</v>
      </c>
      <c r="AC70" s="2">
        <f t="shared" ca="1" si="17"/>
        <v>57500</v>
      </c>
      <c r="AD70" s="2">
        <f t="shared" ca="1" si="17"/>
        <v>57500</v>
      </c>
      <c r="AE70" s="2">
        <f t="shared" ca="1" si="17"/>
        <v>57500</v>
      </c>
      <c r="AF70" s="2">
        <f t="shared" ca="1" si="17"/>
        <v>57500</v>
      </c>
      <c r="AG70" s="2">
        <f t="shared" ca="1" si="17"/>
        <v>62500</v>
      </c>
      <c r="AH70" s="2">
        <f t="shared" ca="1" si="17"/>
        <v>67500</v>
      </c>
      <c r="AI70" s="2">
        <f t="shared" ca="1" si="17"/>
        <v>71500</v>
      </c>
      <c r="AJ70" s="2">
        <f t="shared" ca="1" si="17"/>
        <v>80500</v>
      </c>
      <c r="AK70" s="2">
        <f t="shared" ca="1" si="17"/>
        <v>89500</v>
      </c>
      <c r="AL70" s="2">
        <f t="shared" ca="1" si="17"/>
        <v>93500</v>
      </c>
      <c r="AM70" s="2">
        <f t="shared" ca="1" si="17"/>
        <v>100500</v>
      </c>
      <c r="AN70" s="2">
        <f t="shared" ca="1" si="17"/>
        <v>107500</v>
      </c>
      <c r="AO70" s="2">
        <f t="shared" ca="1" si="17"/>
        <v>114500</v>
      </c>
      <c r="AP70" s="2">
        <f t="shared" ca="1" si="17"/>
        <v>119500</v>
      </c>
      <c r="AQ70" s="2">
        <f t="shared" ca="1" si="17"/>
        <v>129500</v>
      </c>
      <c r="AR70" s="2">
        <f t="shared" ca="1" si="17"/>
        <v>134500</v>
      </c>
      <c r="AS70" s="2">
        <f t="shared" ca="1" si="17"/>
        <v>144500</v>
      </c>
      <c r="AT70" s="2">
        <f t="shared" ca="1" si="17"/>
        <v>154500</v>
      </c>
      <c r="AU70" s="2">
        <f t="shared" ca="1" si="17"/>
        <v>164202.68452820354</v>
      </c>
      <c r="AV70" s="2">
        <f t="shared" ca="1" si="17"/>
        <v>178590.37428665668</v>
      </c>
      <c r="AW70" s="2">
        <f t="shared" ca="1" si="17"/>
        <v>192644.33871164307</v>
      </c>
      <c r="AX70" s="2">
        <f t="shared" ca="1" si="17"/>
        <v>206344.73346216869</v>
      </c>
      <c r="AY70" s="2">
        <f t="shared" ca="1" si="17"/>
        <v>224670.53419131853</v>
      </c>
      <c r="AZ70" s="2">
        <f t="shared" ca="1" si="17"/>
        <v>237599.46637945305</v>
      </c>
      <c r="BA70" s="2">
        <f t="shared" ca="1" si="17"/>
        <v>255107.93099506968</v>
      </c>
      <c r="BB70" s="2">
        <f t="shared" ca="1" si="17"/>
        <v>277170.92573522869</v>
      </c>
      <c r="BC70" s="2">
        <f t="shared" ca="1" si="17"/>
        <v>293761.96158269153</v>
      </c>
      <c r="BD70" s="2">
        <f t="shared" ca="1" si="17"/>
        <v>314852.97440128814</v>
      </c>
      <c r="BE70" s="2">
        <f t="shared" ca="1" si="17"/>
        <v>335414.23127447121</v>
      </c>
      <c r="BF70" s="2">
        <f t="shared" ca="1" si="17"/>
        <v>360414.23127447121</v>
      </c>
      <c r="BG70" s="2">
        <f t="shared" ca="1" si="17"/>
        <v>383919.60033087828</v>
      </c>
      <c r="BH70" s="2">
        <f t="shared" ca="1" si="17"/>
        <v>406794.97984778456</v>
      </c>
      <c r="BI70" s="2">
        <f t="shared" ca="1" si="17"/>
        <v>434002.90869775735</v>
      </c>
      <c r="BJ70" s="2">
        <f t="shared" ca="1" si="17"/>
        <v>460503.69819880859</v>
      </c>
      <c r="BK70" s="2">
        <f t="shared" ca="1" si="17"/>
        <v>489455.29965710826</v>
      </c>
      <c r="BL70" s="2">
        <f t="shared" ca="1" si="17"/>
        <v>517613.16403337731</v>
      </c>
      <c r="BM70" s="2">
        <f t="shared" ca="1" si="17"/>
        <v>549930.09326461051</v>
      </c>
      <c r="BN70" s="2">
        <f t="shared" ca="1" si="17"/>
        <v>579556.08274492854</v>
      </c>
      <c r="BO70" s="2">
        <f t="shared" ca="1" si="17"/>
        <v>613238.1544398542</v>
      </c>
      <c r="BP70" s="2">
        <f t="shared" ca="1" si="17"/>
        <v>650920.18007704744</v>
      </c>
      <c r="BQ70" s="2">
        <f t="shared" ca="1" si="17"/>
        <v>687542.69382341357</v>
      </c>
    </row>
    <row r="71" spans="1:69">
      <c r="D71" s="91" t="s">
        <v>219</v>
      </c>
      <c r="E71" s="2" t="str">
        <f t="shared" ref="E71:BQ71" si="18" xml:space="preserve">  E$54</f>
        <v>Units deployed</v>
      </c>
      <c r="F71" s="2">
        <f t="shared" si="18"/>
        <v>0</v>
      </c>
      <c r="G71" s="2" t="str">
        <f t="shared" si="18"/>
        <v>Units</v>
      </c>
      <c r="H71" s="2">
        <f t="shared" ca="1" si="18"/>
        <v>1066000</v>
      </c>
      <c r="I71" s="2">
        <f t="shared" si="18"/>
        <v>0</v>
      </c>
      <c r="J71" s="2">
        <f t="shared" si="18"/>
        <v>0</v>
      </c>
      <c r="K71" s="2">
        <f t="shared" ca="1" si="18"/>
        <v>1000</v>
      </c>
      <c r="L71" s="2">
        <f t="shared" ca="1" si="18"/>
        <v>1000</v>
      </c>
      <c r="M71" s="2">
        <f t="shared" ca="1" si="18"/>
        <v>1000</v>
      </c>
      <c r="N71" s="2">
        <f t="shared" ca="1" si="18"/>
        <v>1000</v>
      </c>
      <c r="O71" s="2">
        <f t="shared" ca="1" si="18"/>
        <v>2000</v>
      </c>
      <c r="P71" s="2">
        <f t="shared" ca="1" si="18"/>
        <v>4000</v>
      </c>
      <c r="Q71" s="2">
        <f t="shared" ca="1" si="18"/>
        <v>3000</v>
      </c>
      <c r="R71" s="2">
        <f t="shared" ca="1" si="18"/>
        <v>3000</v>
      </c>
      <c r="S71" s="2">
        <f t="shared" ca="1" si="18"/>
        <v>0</v>
      </c>
      <c r="T71" s="2">
        <f t="shared" ca="1" si="18"/>
        <v>10000</v>
      </c>
      <c r="U71" s="2">
        <f t="shared" ca="1" si="18"/>
        <v>0</v>
      </c>
      <c r="V71" s="2">
        <f t="shared" ca="1" si="18"/>
        <v>10000</v>
      </c>
      <c r="W71" s="2">
        <f t="shared" ca="1" si="18"/>
        <v>7297.3154717964753</v>
      </c>
      <c r="X71" s="2">
        <f t="shared" ca="1" si="18"/>
        <v>2702.6845282035247</v>
      </c>
      <c r="Y71" s="2">
        <f t="shared" ca="1" si="18"/>
        <v>8855.6612883569433</v>
      </c>
      <c r="Z71" s="2">
        <f t="shared" ca="1" si="18"/>
        <v>1144.3387116430567</v>
      </c>
      <c r="AA71" s="2">
        <f t="shared" ca="1" si="18"/>
        <v>0</v>
      </c>
      <c r="AB71" s="2">
        <f t="shared" ca="1" si="18"/>
        <v>0</v>
      </c>
      <c r="AC71" s="2">
        <f t="shared" ca="1" si="18"/>
        <v>0</v>
      </c>
      <c r="AD71" s="2">
        <f t="shared" ca="1" si="18"/>
        <v>0</v>
      </c>
      <c r="AE71" s="2">
        <f t="shared" ca="1" si="18"/>
        <v>0</v>
      </c>
      <c r="AF71" s="2">
        <f t="shared" ca="1" si="18"/>
        <v>5000</v>
      </c>
      <c r="AG71" s="2">
        <f t="shared" ca="1" si="18"/>
        <v>5000</v>
      </c>
      <c r="AH71" s="2">
        <f t="shared" ca="1" si="18"/>
        <v>5000</v>
      </c>
      <c r="AI71" s="2">
        <f t="shared" ca="1" si="18"/>
        <v>10000</v>
      </c>
      <c r="AJ71" s="2">
        <f t="shared" ca="1" si="18"/>
        <v>10000</v>
      </c>
      <c r="AK71" s="2">
        <f t="shared" ca="1" si="18"/>
        <v>5000</v>
      </c>
      <c r="AL71" s="2">
        <f t="shared" ca="1" si="18"/>
        <v>10000</v>
      </c>
      <c r="AM71" s="2">
        <f t="shared" ca="1" si="18"/>
        <v>10000</v>
      </c>
      <c r="AN71" s="2">
        <f t="shared" ca="1" si="18"/>
        <v>10000</v>
      </c>
      <c r="AO71" s="2">
        <f t="shared" ca="1" si="18"/>
        <v>10000</v>
      </c>
      <c r="AP71" s="2">
        <f t="shared" ca="1" si="18"/>
        <v>15000</v>
      </c>
      <c r="AQ71" s="2">
        <f t="shared" ca="1" si="18"/>
        <v>10000</v>
      </c>
      <c r="AR71" s="2">
        <f t="shared" ca="1" si="18"/>
        <v>15000</v>
      </c>
      <c r="AS71" s="2">
        <f t="shared" ca="1" si="18"/>
        <v>15000</v>
      </c>
      <c r="AT71" s="2">
        <f t="shared" ca="1" si="18"/>
        <v>15000</v>
      </c>
      <c r="AU71" s="2">
        <f t="shared" ca="1" si="18"/>
        <v>20000</v>
      </c>
      <c r="AV71" s="2">
        <f t="shared" ca="1" si="18"/>
        <v>20000</v>
      </c>
      <c r="AW71" s="2">
        <f t="shared" ca="1" si="18"/>
        <v>20000</v>
      </c>
      <c r="AX71" s="2">
        <f t="shared" ca="1" si="18"/>
        <v>25000</v>
      </c>
      <c r="AY71" s="2">
        <f t="shared" ca="1" si="18"/>
        <v>20000</v>
      </c>
      <c r="AZ71" s="2">
        <f t="shared" ca="1" si="18"/>
        <v>25000</v>
      </c>
      <c r="BA71" s="2">
        <f t="shared" ca="1" si="18"/>
        <v>30000</v>
      </c>
      <c r="BB71" s="2">
        <f t="shared" ca="1" si="18"/>
        <v>25000</v>
      </c>
      <c r="BC71" s="2">
        <f t="shared" ca="1" si="18"/>
        <v>30000</v>
      </c>
      <c r="BD71" s="2">
        <f t="shared" ca="1" si="18"/>
        <v>30000.000000000004</v>
      </c>
      <c r="BE71" s="2">
        <f t="shared" ca="1" si="18"/>
        <v>35000</v>
      </c>
      <c r="BF71" s="2">
        <f t="shared" ca="1" si="18"/>
        <v>35000</v>
      </c>
      <c r="BG71" s="2">
        <f t="shared" ca="1" si="18"/>
        <v>35000</v>
      </c>
      <c r="BH71" s="2">
        <f t="shared" ca="1" si="18"/>
        <v>40000</v>
      </c>
      <c r="BI71" s="2">
        <f t="shared" ca="1" si="18"/>
        <v>40000</v>
      </c>
      <c r="BJ71" s="2">
        <f t="shared" ca="1" si="18"/>
        <v>45000</v>
      </c>
      <c r="BK71" s="2">
        <f t="shared" ca="1" si="18"/>
        <v>45000</v>
      </c>
      <c r="BL71" s="2">
        <f t="shared" ca="1" si="18"/>
        <v>49999.999999999993</v>
      </c>
      <c r="BM71" s="2">
        <f t="shared" ca="1" si="18"/>
        <v>50000.000000000007</v>
      </c>
      <c r="BN71" s="2">
        <f t="shared" ca="1" si="18"/>
        <v>54999.999999999985</v>
      </c>
      <c r="BO71" s="2">
        <f t="shared" ca="1" si="18"/>
        <v>60000</v>
      </c>
      <c r="BP71" s="2">
        <f t="shared" ca="1" si="18"/>
        <v>60000</v>
      </c>
      <c r="BQ71" s="2">
        <f t="shared" ca="1" si="18"/>
        <v>65000</v>
      </c>
    </row>
    <row r="72" spans="1:69">
      <c r="D72" s="91" t="s">
        <v>300</v>
      </c>
      <c r="E72" s="2" t="str">
        <f t="shared" ref="E72:BQ72" si="19" xml:space="preserve">  E$18</f>
        <v>Deployed units returned</v>
      </c>
      <c r="F72" s="2">
        <f t="shared" si="19"/>
        <v>0</v>
      </c>
      <c r="G72" s="2" t="str">
        <f t="shared" si="19"/>
        <v>Units</v>
      </c>
      <c r="H72" s="2">
        <f t="shared" ca="1" si="19"/>
        <v>339457.30617658654</v>
      </c>
      <c r="I72" s="2">
        <f t="shared" si="19"/>
        <v>0</v>
      </c>
      <c r="J72" s="2">
        <f t="shared" ca="1" si="19"/>
        <v>0</v>
      </c>
      <c r="K72" s="2">
        <f t="shared" ca="1" si="19"/>
        <v>0</v>
      </c>
      <c r="L72" s="2">
        <f t="shared" ca="1" si="19"/>
        <v>0</v>
      </c>
      <c r="M72" s="2">
        <f t="shared" ca="1" si="19"/>
        <v>0</v>
      </c>
      <c r="N72" s="2">
        <f t="shared" ca="1" si="19"/>
        <v>0</v>
      </c>
      <c r="O72" s="2">
        <f t="shared" ca="1" si="19"/>
        <v>0</v>
      </c>
      <c r="P72" s="2">
        <f t="shared" ca="1" si="19"/>
        <v>0</v>
      </c>
      <c r="Q72" s="2">
        <f t="shared" ca="1" si="19"/>
        <v>0</v>
      </c>
      <c r="R72" s="2">
        <f t="shared" ca="1" si="19"/>
        <v>0</v>
      </c>
      <c r="S72" s="2">
        <f t="shared" ca="1" si="19"/>
        <v>0</v>
      </c>
      <c r="T72" s="2">
        <f t="shared" ca="1" si="19"/>
        <v>0</v>
      </c>
      <c r="U72" s="2">
        <f t="shared" ca="1" si="19"/>
        <v>0</v>
      </c>
      <c r="V72" s="2">
        <f t="shared" ca="1" si="19"/>
        <v>0</v>
      </c>
      <c r="W72" s="2">
        <f t="shared" ca="1" si="19"/>
        <v>0</v>
      </c>
      <c r="X72" s="2">
        <f t="shared" ca="1" si="19"/>
        <v>0</v>
      </c>
      <c r="Y72" s="2">
        <f t="shared" ca="1" si="19"/>
        <v>0</v>
      </c>
      <c r="Z72" s="2">
        <f t="shared" ca="1" si="19"/>
        <v>0</v>
      </c>
      <c r="AA72" s="2">
        <f t="shared" ca="1" si="19"/>
        <v>0</v>
      </c>
      <c r="AB72" s="2">
        <f t="shared" ca="1" si="19"/>
        <v>0</v>
      </c>
      <c r="AC72" s="2">
        <f t="shared" ca="1" si="19"/>
        <v>0</v>
      </c>
      <c r="AD72" s="2">
        <f t="shared" ca="1" si="19"/>
        <v>0</v>
      </c>
      <c r="AE72" s="2">
        <f t="shared" ca="1" si="19"/>
        <v>0</v>
      </c>
      <c r="AF72" s="2">
        <f t="shared" ca="1" si="19"/>
        <v>0</v>
      </c>
      <c r="AG72" s="2">
        <f t="shared" ca="1" si="19"/>
        <v>0</v>
      </c>
      <c r="AH72" s="2">
        <f t="shared" ca="1" si="19"/>
        <v>1000</v>
      </c>
      <c r="AI72" s="2">
        <f t="shared" ca="1" si="19"/>
        <v>1000</v>
      </c>
      <c r="AJ72" s="2">
        <f t="shared" ca="1" si="19"/>
        <v>1000</v>
      </c>
      <c r="AK72" s="2">
        <f t="shared" ca="1" si="19"/>
        <v>1000</v>
      </c>
      <c r="AL72" s="2">
        <f t="shared" ca="1" si="19"/>
        <v>3000</v>
      </c>
      <c r="AM72" s="2">
        <f t="shared" ca="1" si="19"/>
        <v>3000</v>
      </c>
      <c r="AN72" s="2">
        <f t="shared" ca="1" si="19"/>
        <v>3000</v>
      </c>
      <c r="AO72" s="2">
        <f t="shared" ca="1" si="19"/>
        <v>5000</v>
      </c>
      <c r="AP72" s="2">
        <f t="shared" ca="1" si="19"/>
        <v>5000</v>
      </c>
      <c r="AQ72" s="2">
        <f t="shared" ca="1" si="19"/>
        <v>5000</v>
      </c>
      <c r="AR72" s="2">
        <f t="shared" ca="1" si="19"/>
        <v>5000</v>
      </c>
      <c r="AS72" s="2">
        <f t="shared" ca="1" si="19"/>
        <v>5000</v>
      </c>
      <c r="AT72" s="2">
        <f t="shared" ca="1" si="19"/>
        <v>5297.3154717964762</v>
      </c>
      <c r="AU72" s="2">
        <f t="shared" ca="1" si="19"/>
        <v>5612.3102415468647</v>
      </c>
      <c r="AV72" s="2">
        <f t="shared" ca="1" si="19"/>
        <v>5946.035575013605</v>
      </c>
      <c r="AW72" s="2">
        <f t="shared" ca="1" si="19"/>
        <v>6299.6052494743653</v>
      </c>
      <c r="AX72" s="2">
        <f t="shared" ca="1" si="19"/>
        <v>6674.1992708501712</v>
      </c>
      <c r="AY72" s="2">
        <f t="shared" ca="1" si="19"/>
        <v>7071.0678118654751</v>
      </c>
      <c r="AZ72" s="2">
        <f t="shared" ca="1" si="19"/>
        <v>7491.5353843834073</v>
      </c>
      <c r="BA72" s="2">
        <f t="shared" ca="1" si="19"/>
        <v>7937.0052598409975</v>
      </c>
      <c r="BB72" s="2">
        <f t="shared" ca="1" si="19"/>
        <v>8408.9641525371462</v>
      </c>
      <c r="BC72" s="2">
        <f t="shared" ca="1" si="19"/>
        <v>8908.9871814033941</v>
      </c>
      <c r="BD72" s="2">
        <f t="shared" ca="1" si="19"/>
        <v>9438.7431268169366</v>
      </c>
      <c r="BE72" s="2">
        <f t="shared" ca="1" si="19"/>
        <v>10000.000000000002</v>
      </c>
      <c r="BF72" s="2">
        <f t="shared" ca="1" si="19"/>
        <v>11494.630943592954</v>
      </c>
      <c r="BG72" s="2">
        <f t="shared" ca="1" si="19"/>
        <v>12124.620483093731</v>
      </c>
      <c r="BH72" s="2">
        <f t="shared" ca="1" si="19"/>
        <v>12792.071150027214</v>
      </c>
      <c r="BI72" s="2">
        <f t="shared" ca="1" si="19"/>
        <v>13499.210498948736</v>
      </c>
      <c r="BJ72" s="2">
        <f t="shared" ca="1" si="19"/>
        <v>16048.39854170035</v>
      </c>
      <c r="BK72" s="2">
        <f t="shared" ca="1" si="19"/>
        <v>16842.135623730959</v>
      </c>
      <c r="BL72" s="2">
        <f t="shared" ca="1" si="19"/>
        <v>17683.070768766825</v>
      </c>
      <c r="BM72" s="2">
        <f t="shared" ca="1" si="19"/>
        <v>20374.010519682004</v>
      </c>
      <c r="BN72" s="2">
        <f t="shared" ca="1" si="19"/>
        <v>21317.9283050743</v>
      </c>
      <c r="BO72" s="2">
        <f t="shared" ca="1" si="19"/>
        <v>22317.974362806795</v>
      </c>
      <c r="BP72" s="2">
        <f t="shared" ca="1" si="19"/>
        <v>23377.486253633881</v>
      </c>
      <c r="BQ72" s="2">
        <f t="shared" ca="1" si="19"/>
        <v>24500.000000000011</v>
      </c>
    </row>
    <row r="73" spans="1:69" s="81" customFormat="1">
      <c r="A73" s="63"/>
      <c r="B73" s="63"/>
      <c r="C73" s="88"/>
      <c r="D73" s="90"/>
      <c r="E73" s="33" t="s">
        <v>221</v>
      </c>
      <c r="F73" s="33"/>
      <c r="G73" s="33" t="s">
        <v>123</v>
      </c>
      <c r="H73" s="33"/>
      <c r="I73" s="11">
        <f t="shared" ref="I73:BQ73" si="20" xml:space="preserve">  IF( I69 = 0, $F68, I70 + I71 - I72 )</f>
        <v>1500</v>
      </c>
      <c r="J73" s="11">
        <f t="shared" ca="1" si="20"/>
        <v>1500</v>
      </c>
      <c r="K73" s="11">
        <f t="shared" ca="1" si="20"/>
        <v>2500</v>
      </c>
      <c r="L73" s="11">
        <f t="shared" ca="1" si="20"/>
        <v>3500</v>
      </c>
      <c r="M73" s="11">
        <f t="shared" ca="1" si="20"/>
        <v>4500</v>
      </c>
      <c r="N73" s="11">
        <f t="shared" ca="1" si="20"/>
        <v>5500</v>
      </c>
      <c r="O73" s="11">
        <f t="shared" ca="1" si="20"/>
        <v>7500</v>
      </c>
      <c r="P73" s="11">
        <f t="shared" ca="1" si="20"/>
        <v>11500</v>
      </c>
      <c r="Q73" s="11">
        <f t="shared" ca="1" si="20"/>
        <v>14500</v>
      </c>
      <c r="R73" s="11">
        <f t="shared" ca="1" si="20"/>
        <v>17500</v>
      </c>
      <c r="S73" s="11">
        <f t="shared" ca="1" si="20"/>
        <v>17500</v>
      </c>
      <c r="T73" s="11">
        <f t="shared" ca="1" si="20"/>
        <v>27500</v>
      </c>
      <c r="U73" s="11">
        <f t="shared" ca="1" si="20"/>
        <v>27500</v>
      </c>
      <c r="V73" s="11">
        <f t="shared" ca="1" si="20"/>
        <v>37500</v>
      </c>
      <c r="W73" s="11">
        <f t="shared" ca="1" si="20"/>
        <v>44797.315471796479</v>
      </c>
      <c r="X73" s="11">
        <f t="shared" ca="1" si="20"/>
        <v>47500</v>
      </c>
      <c r="Y73" s="11">
        <f t="shared" ca="1" si="20"/>
        <v>56355.661288356947</v>
      </c>
      <c r="Z73" s="11">
        <f t="shared" ca="1" si="20"/>
        <v>57500</v>
      </c>
      <c r="AA73" s="11">
        <f t="shared" ca="1" si="20"/>
        <v>57500</v>
      </c>
      <c r="AB73" s="11">
        <f t="shared" ca="1" si="20"/>
        <v>57500</v>
      </c>
      <c r="AC73" s="11">
        <f t="shared" ca="1" si="20"/>
        <v>57500</v>
      </c>
      <c r="AD73" s="11">
        <f t="shared" ca="1" si="20"/>
        <v>57500</v>
      </c>
      <c r="AE73" s="11">
        <f t="shared" ca="1" si="20"/>
        <v>57500</v>
      </c>
      <c r="AF73" s="11">
        <f t="shared" ca="1" si="20"/>
        <v>62500</v>
      </c>
      <c r="AG73" s="11">
        <f t="shared" ca="1" si="20"/>
        <v>67500</v>
      </c>
      <c r="AH73" s="11">
        <f t="shared" ca="1" si="20"/>
        <v>71500</v>
      </c>
      <c r="AI73" s="11">
        <f t="shared" ca="1" si="20"/>
        <v>80500</v>
      </c>
      <c r="AJ73" s="11">
        <f t="shared" ca="1" si="20"/>
        <v>89500</v>
      </c>
      <c r="AK73" s="11">
        <f t="shared" ca="1" si="20"/>
        <v>93500</v>
      </c>
      <c r="AL73" s="11">
        <f t="shared" ca="1" si="20"/>
        <v>100500</v>
      </c>
      <c r="AM73" s="11">
        <f t="shared" ca="1" si="20"/>
        <v>107500</v>
      </c>
      <c r="AN73" s="11">
        <f t="shared" ca="1" si="20"/>
        <v>114500</v>
      </c>
      <c r="AO73" s="11">
        <f t="shared" ca="1" si="20"/>
        <v>119500</v>
      </c>
      <c r="AP73" s="11">
        <f t="shared" ca="1" si="20"/>
        <v>129500</v>
      </c>
      <c r="AQ73" s="11">
        <f t="shared" ca="1" si="20"/>
        <v>134500</v>
      </c>
      <c r="AR73" s="11">
        <f t="shared" ca="1" si="20"/>
        <v>144500</v>
      </c>
      <c r="AS73" s="11">
        <f t="shared" ca="1" si="20"/>
        <v>154500</v>
      </c>
      <c r="AT73" s="11">
        <f t="shared" ca="1" si="20"/>
        <v>164202.68452820354</v>
      </c>
      <c r="AU73" s="11">
        <f t="shared" ca="1" si="20"/>
        <v>178590.37428665668</v>
      </c>
      <c r="AV73" s="11">
        <f t="shared" ca="1" si="20"/>
        <v>192644.33871164307</v>
      </c>
      <c r="AW73" s="11">
        <f t="shared" ca="1" si="20"/>
        <v>206344.73346216869</v>
      </c>
      <c r="AX73" s="11">
        <f t="shared" ca="1" si="20"/>
        <v>224670.53419131853</v>
      </c>
      <c r="AY73" s="11">
        <f t="shared" ca="1" si="20"/>
        <v>237599.46637945305</v>
      </c>
      <c r="AZ73" s="11">
        <f t="shared" ca="1" si="20"/>
        <v>255107.93099506968</v>
      </c>
      <c r="BA73" s="11">
        <f t="shared" ca="1" si="20"/>
        <v>277170.92573522869</v>
      </c>
      <c r="BB73" s="11">
        <f t="shared" ca="1" si="20"/>
        <v>293761.96158269153</v>
      </c>
      <c r="BC73" s="11">
        <f t="shared" ca="1" si="20"/>
        <v>314852.97440128814</v>
      </c>
      <c r="BD73" s="11">
        <f t="shared" ca="1" si="20"/>
        <v>335414.23127447121</v>
      </c>
      <c r="BE73" s="11">
        <f t="shared" ca="1" si="20"/>
        <v>360414.23127447121</v>
      </c>
      <c r="BF73" s="11">
        <f t="shared" ca="1" si="20"/>
        <v>383919.60033087828</v>
      </c>
      <c r="BG73" s="11">
        <f t="shared" ca="1" si="20"/>
        <v>406794.97984778456</v>
      </c>
      <c r="BH73" s="11">
        <f t="shared" ca="1" si="20"/>
        <v>434002.90869775735</v>
      </c>
      <c r="BI73" s="11">
        <f t="shared" ca="1" si="20"/>
        <v>460503.69819880859</v>
      </c>
      <c r="BJ73" s="11">
        <f t="shared" ca="1" si="20"/>
        <v>489455.29965710826</v>
      </c>
      <c r="BK73" s="11">
        <f t="shared" ca="1" si="20"/>
        <v>517613.16403337731</v>
      </c>
      <c r="BL73" s="11">
        <f t="shared" ca="1" si="20"/>
        <v>549930.09326461051</v>
      </c>
      <c r="BM73" s="11">
        <f t="shared" ca="1" si="20"/>
        <v>579556.08274492854</v>
      </c>
      <c r="BN73" s="11">
        <f t="shared" ca="1" si="20"/>
        <v>613238.1544398542</v>
      </c>
      <c r="BO73" s="11">
        <f t="shared" ca="1" si="20"/>
        <v>650920.18007704744</v>
      </c>
      <c r="BP73" s="11">
        <f t="shared" ca="1" si="20"/>
        <v>687542.69382341357</v>
      </c>
      <c r="BQ73" s="11">
        <f t="shared" ca="1" si="20"/>
        <v>728042.69382341357</v>
      </c>
    </row>
    <row r="75" spans="1:69">
      <c r="B75" s="25" t="s">
        <v>301</v>
      </c>
    </row>
    <row r="76" spans="1:69" outlineLevel="1">
      <c r="E76" s="2" t="str">
        <f t="shared" ref="E76:BQ76" si="21" xml:space="preserve">  E$18</f>
        <v>Deployed units returned</v>
      </c>
      <c r="F76" s="2">
        <f t="shared" si="21"/>
        <v>0</v>
      </c>
      <c r="G76" s="2" t="str">
        <f t="shared" si="21"/>
        <v>Units</v>
      </c>
      <c r="H76" s="2">
        <f t="shared" ca="1" si="21"/>
        <v>339457.30617658654</v>
      </c>
      <c r="I76" s="2">
        <f t="shared" si="21"/>
        <v>0</v>
      </c>
      <c r="J76" s="2">
        <f t="shared" ca="1" si="21"/>
        <v>0</v>
      </c>
      <c r="K76" s="2">
        <f t="shared" ca="1" si="21"/>
        <v>0</v>
      </c>
      <c r="L76" s="2">
        <f t="shared" ca="1" si="21"/>
        <v>0</v>
      </c>
      <c r="M76" s="2">
        <f t="shared" ca="1" si="21"/>
        <v>0</v>
      </c>
      <c r="N76" s="2">
        <f t="shared" ca="1" si="21"/>
        <v>0</v>
      </c>
      <c r="O76" s="2">
        <f t="shared" ca="1" si="21"/>
        <v>0</v>
      </c>
      <c r="P76" s="2">
        <f t="shared" ca="1" si="21"/>
        <v>0</v>
      </c>
      <c r="Q76" s="2">
        <f t="shared" ca="1" si="21"/>
        <v>0</v>
      </c>
      <c r="R76" s="2">
        <f t="shared" ca="1" si="21"/>
        <v>0</v>
      </c>
      <c r="S76" s="2">
        <f t="shared" ca="1" si="21"/>
        <v>0</v>
      </c>
      <c r="T76" s="2">
        <f t="shared" ca="1" si="21"/>
        <v>0</v>
      </c>
      <c r="U76" s="2">
        <f t="shared" ca="1" si="21"/>
        <v>0</v>
      </c>
      <c r="V76" s="2">
        <f t="shared" ca="1" si="21"/>
        <v>0</v>
      </c>
      <c r="W76" s="2">
        <f t="shared" ca="1" si="21"/>
        <v>0</v>
      </c>
      <c r="X76" s="2">
        <f t="shared" ca="1" si="21"/>
        <v>0</v>
      </c>
      <c r="Y76" s="2">
        <f t="shared" ca="1" si="21"/>
        <v>0</v>
      </c>
      <c r="Z76" s="2">
        <f t="shared" ca="1" si="21"/>
        <v>0</v>
      </c>
      <c r="AA76" s="2">
        <f t="shared" ca="1" si="21"/>
        <v>0</v>
      </c>
      <c r="AB76" s="2">
        <f t="shared" ca="1" si="21"/>
        <v>0</v>
      </c>
      <c r="AC76" s="2">
        <f t="shared" ca="1" si="21"/>
        <v>0</v>
      </c>
      <c r="AD76" s="2">
        <f t="shared" ca="1" si="21"/>
        <v>0</v>
      </c>
      <c r="AE76" s="2">
        <f t="shared" ca="1" si="21"/>
        <v>0</v>
      </c>
      <c r="AF76" s="2">
        <f t="shared" ca="1" si="21"/>
        <v>0</v>
      </c>
      <c r="AG76" s="2">
        <f t="shared" ca="1" si="21"/>
        <v>0</v>
      </c>
      <c r="AH76" s="2">
        <f t="shared" ca="1" si="21"/>
        <v>1000</v>
      </c>
      <c r="AI76" s="2">
        <f t="shared" ca="1" si="21"/>
        <v>1000</v>
      </c>
      <c r="AJ76" s="2">
        <f t="shared" ca="1" si="21"/>
        <v>1000</v>
      </c>
      <c r="AK76" s="2">
        <f t="shared" ca="1" si="21"/>
        <v>1000</v>
      </c>
      <c r="AL76" s="2">
        <f t="shared" ca="1" si="21"/>
        <v>3000</v>
      </c>
      <c r="AM76" s="2">
        <f t="shared" ca="1" si="21"/>
        <v>3000</v>
      </c>
      <c r="AN76" s="2">
        <f t="shared" ca="1" si="21"/>
        <v>3000</v>
      </c>
      <c r="AO76" s="2">
        <f t="shared" ca="1" si="21"/>
        <v>5000</v>
      </c>
      <c r="AP76" s="2">
        <f t="shared" ca="1" si="21"/>
        <v>5000</v>
      </c>
      <c r="AQ76" s="2">
        <f t="shared" ca="1" si="21"/>
        <v>5000</v>
      </c>
      <c r="AR76" s="2">
        <f t="shared" ca="1" si="21"/>
        <v>5000</v>
      </c>
      <c r="AS76" s="2">
        <f t="shared" ca="1" si="21"/>
        <v>5000</v>
      </c>
      <c r="AT76" s="2">
        <f t="shared" ca="1" si="21"/>
        <v>5297.3154717964762</v>
      </c>
      <c r="AU76" s="2">
        <f t="shared" ca="1" si="21"/>
        <v>5612.3102415468647</v>
      </c>
      <c r="AV76" s="2">
        <f t="shared" ca="1" si="21"/>
        <v>5946.035575013605</v>
      </c>
      <c r="AW76" s="2">
        <f t="shared" ca="1" si="21"/>
        <v>6299.6052494743653</v>
      </c>
      <c r="AX76" s="2">
        <f t="shared" ca="1" si="21"/>
        <v>6674.1992708501712</v>
      </c>
      <c r="AY76" s="2">
        <f t="shared" ca="1" si="21"/>
        <v>7071.0678118654751</v>
      </c>
      <c r="AZ76" s="2">
        <f t="shared" ca="1" si="21"/>
        <v>7491.5353843834073</v>
      </c>
      <c r="BA76" s="2">
        <f t="shared" ca="1" si="21"/>
        <v>7937.0052598409975</v>
      </c>
      <c r="BB76" s="2">
        <f t="shared" ca="1" si="21"/>
        <v>8408.9641525371462</v>
      </c>
      <c r="BC76" s="2">
        <f t="shared" ca="1" si="21"/>
        <v>8908.9871814033941</v>
      </c>
      <c r="BD76" s="2">
        <f t="shared" ca="1" si="21"/>
        <v>9438.7431268169366</v>
      </c>
      <c r="BE76" s="2">
        <f t="shared" ca="1" si="21"/>
        <v>10000.000000000002</v>
      </c>
      <c r="BF76" s="2">
        <f t="shared" ca="1" si="21"/>
        <v>11494.630943592954</v>
      </c>
      <c r="BG76" s="2">
        <f t="shared" ca="1" si="21"/>
        <v>12124.620483093731</v>
      </c>
      <c r="BH76" s="2">
        <f t="shared" ca="1" si="21"/>
        <v>12792.071150027214</v>
      </c>
      <c r="BI76" s="2">
        <f t="shared" ca="1" si="21"/>
        <v>13499.210498948736</v>
      </c>
      <c r="BJ76" s="2">
        <f t="shared" ca="1" si="21"/>
        <v>16048.39854170035</v>
      </c>
      <c r="BK76" s="2">
        <f t="shared" ca="1" si="21"/>
        <v>16842.135623730959</v>
      </c>
      <c r="BL76" s="2">
        <f t="shared" ca="1" si="21"/>
        <v>17683.070768766825</v>
      </c>
      <c r="BM76" s="2">
        <f t="shared" ca="1" si="21"/>
        <v>20374.010519682004</v>
      </c>
      <c r="BN76" s="2">
        <f t="shared" ca="1" si="21"/>
        <v>21317.9283050743</v>
      </c>
      <c r="BO76" s="2">
        <f t="shared" ca="1" si="21"/>
        <v>22317.974362806795</v>
      </c>
      <c r="BP76" s="2">
        <f t="shared" ca="1" si="21"/>
        <v>23377.486253633881</v>
      </c>
      <c r="BQ76" s="2">
        <f t="shared" ca="1" si="21"/>
        <v>24500.000000000011</v>
      </c>
    </row>
    <row r="77" spans="1:69" outlineLevel="1">
      <c r="A77" s="34"/>
      <c r="B77" s="34"/>
      <c r="C77" s="64"/>
      <c r="D77" s="65"/>
      <c r="E77" s="21" t="s">
        <v>301</v>
      </c>
      <c r="F77" s="21"/>
      <c r="G77" s="21" t="s">
        <v>123</v>
      </c>
      <c r="H77" s="3">
        <f ca="1" xml:space="preserve"> SUM( J77:BQ77 )</f>
        <v>339457.30617658654</v>
      </c>
      <c r="I77" s="21"/>
      <c r="J77" s="3">
        <f t="shared" ref="J77:BQ77" ca="1" si="22" xml:space="preserve">  J76</f>
        <v>0</v>
      </c>
      <c r="K77" s="3">
        <f t="shared" ca="1" si="22"/>
        <v>0</v>
      </c>
      <c r="L77" s="3">
        <f t="shared" ca="1" si="22"/>
        <v>0</v>
      </c>
      <c r="M77" s="3">
        <f t="shared" ca="1" si="22"/>
        <v>0</v>
      </c>
      <c r="N77" s="3">
        <f t="shared" ca="1" si="22"/>
        <v>0</v>
      </c>
      <c r="O77" s="3">
        <f t="shared" ca="1" si="22"/>
        <v>0</v>
      </c>
      <c r="P77" s="3">
        <f t="shared" ca="1" si="22"/>
        <v>0</v>
      </c>
      <c r="Q77" s="3">
        <f t="shared" ca="1" si="22"/>
        <v>0</v>
      </c>
      <c r="R77" s="3">
        <f t="shared" ca="1" si="22"/>
        <v>0</v>
      </c>
      <c r="S77" s="3">
        <f t="shared" ca="1" si="22"/>
        <v>0</v>
      </c>
      <c r="T77" s="3">
        <f t="shared" ca="1" si="22"/>
        <v>0</v>
      </c>
      <c r="U77" s="3">
        <f t="shared" ca="1" si="22"/>
        <v>0</v>
      </c>
      <c r="V77" s="3">
        <f t="shared" ca="1" si="22"/>
        <v>0</v>
      </c>
      <c r="W77" s="3">
        <f t="shared" ca="1" si="22"/>
        <v>0</v>
      </c>
      <c r="X77" s="3">
        <f t="shared" ca="1" si="22"/>
        <v>0</v>
      </c>
      <c r="Y77" s="3">
        <f t="shared" ca="1" si="22"/>
        <v>0</v>
      </c>
      <c r="Z77" s="3">
        <f t="shared" ca="1" si="22"/>
        <v>0</v>
      </c>
      <c r="AA77" s="3">
        <f t="shared" ca="1" si="22"/>
        <v>0</v>
      </c>
      <c r="AB77" s="3">
        <f t="shared" ca="1" si="22"/>
        <v>0</v>
      </c>
      <c r="AC77" s="3">
        <f t="shared" ca="1" si="22"/>
        <v>0</v>
      </c>
      <c r="AD77" s="3">
        <f t="shared" ca="1" si="22"/>
        <v>0</v>
      </c>
      <c r="AE77" s="3">
        <f t="shared" ca="1" si="22"/>
        <v>0</v>
      </c>
      <c r="AF77" s="3">
        <f t="shared" ca="1" si="22"/>
        <v>0</v>
      </c>
      <c r="AG77" s="3">
        <f t="shared" ca="1" si="22"/>
        <v>0</v>
      </c>
      <c r="AH77" s="3">
        <f t="shared" ca="1" si="22"/>
        <v>1000</v>
      </c>
      <c r="AI77" s="3">
        <f t="shared" ca="1" si="22"/>
        <v>1000</v>
      </c>
      <c r="AJ77" s="3">
        <f t="shared" ca="1" si="22"/>
        <v>1000</v>
      </c>
      <c r="AK77" s="3">
        <f t="shared" ca="1" si="22"/>
        <v>1000</v>
      </c>
      <c r="AL77" s="3">
        <f t="shared" ca="1" si="22"/>
        <v>3000</v>
      </c>
      <c r="AM77" s="3">
        <f t="shared" ca="1" si="22"/>
        <v>3000</v>
      </c>
      <c r="AN77" s="3">
        <f t="shared" ca="1" si="22"/>
        <v>3000</v>
      </c>
      <c r="AO77" s="3">
        <f t="shared" ca="1" si="22"/>
        <v>5000</v>
      </c>
      <c r="AP77" s="3">
        <f t="shared" ca="1" si="22"/>
        <v>5000</v>
      </c>
      <c r="AQ77" s="3">
        <f t="shared" ca="1" si="22"/>
        <v>5000</v>
      </c>
      <c r="AR77" s="3">
        <f t="shared" ca="1" si="22"/>
        <v>5000</v>
      </c>
      <c r="AS77" s="3">
        <f t="shared" ca="1" si="22"/>
        <v>5000</v>
      </c>
      <c r="AT77" s="3">
        <f t="shared" ca="1" si="22"/>
        <v>5297.3154717964762</v>
      </c>
      <c r="AU77" s="3">
        <f t="shared" ca="1" si="22"/>
        <v>5612.3102415468647</v>
      </c>
      <c r="AV77" s="3">
        <f t="shared" ca="1" si="22"/>
        <v>5946.035575013605</v>
      </c>
      <c r="AW77" s="3">
        <f t="shared" ca="1" si="22"/>
        <v>6299.6052494743653</v>
      </c>
      <c r="AX77" s="3">
        <f t="shared" ca="1" si="22"/>
        <v>6674.1992708501712</v>
      </c>
      <c r="AY77" s="3">
        <f t="shared" ca="1" si="22"/>
        <v>7071.0678118654751</v>
      </c>
      <c r="AZ77" s="3">
        <f t="shared" ca="1" si="22"/>
        <v>7491.5353843834073</v>
      </c>
      <c r="BA77" s="3">
        <f t="shared" ca="1" si="22"/>
        <v>7937.0052598409975</v>
      </c>
      <c r="BB77" s="3">
        <f t="shared" ca="1" si="22"/>
        <v>8408.9641525371462</v>
      </c>
      <c r="BC77" s="3">
        <f t="shared" ca="1" si="22"/>
        <v>8908.9871814033941</v>
      </c>
      <c r="BD77" s="3">
        <f t="shared" ca="1" si="22"/>
        <v>9438.7431268169366</v>
      </c>
      <c r="BE77" s="3">
        <f t="shared" ca="1" si="22"/>
        <v>10000.000000000002</v>
      </c>
      <c r="BF77" s="3">
        <f t="shared" ca="1" si="22"/>
        <v>11494.630943592954</v>
      </c>
      <c r="BG77" s="3">
        <f t="shared" ca="1" si="22"/>
        <v>12124.620483093731</v>
      </c>
      <c r="BH77" s="3">
        <f t="shared" ca="1" si="22"/>
        <v>12792.071150027214</v>
      </c>
      <c r="BI77" s="3">
        <f t="shared" ca="1" si="22"/>
        <v>13499.210498948736</v>
      </c>
      <c r="BJ77" s="3">
        <f t="shared" ca="1" si="22"/>
        <v>16048.39854170035</v>
      </c>
      <c r="BK77" s="3">
        <f t="shared" ca="1" si="22"/>
        <v>16842.135623730959</v>
      </c>
      <c r="BL77" s="3">
        <f t="shared" ca="1" si="22"/>
        <v>17683.070768766825</v>
      </c>
      <c r="BM77" s="3">
        <f t="shared" ca="1" si="22"/>
        <v>20374.010519682004</v>
      </c>
      <c r="BN77" s="3">
        <f t="shared" ca="1" si="22"/>
        <v>21317.9283050743</v>
      </c>
      <c r="BO77" s="3">
        <f t="shared" ca="1" si="22"/>
        <v>22317.974362806795</v>
      </c>
      <c r="BP77" s="3">
        <f t="shared" ca="1" si="22"/>
        <v>23377.486253633881</v>
      </c>
      <c r="BQ77" s="3">
        <f t="shared" ca="1" si="22"/>
        <v>24500.000000000011</v>
      </c>
    </row>
    <row r="80" spans="1:69">
      <c r="B80" s="25" t="s">
        <v>222</v>
      </c>
    </row>
    <row r="81" spans="1:69" s="82" customFormat="1">
      <c r="A81" s="59"/>
      <c r="B81" s="59"/>
      <c r="C81" s="87"/>
      <c r="D81" s="84"/>
      <c r="E81" s="40" t="str">
        <f xml:space="preserve">  InpC!E$38</f>
        <v>Opening Total Units retired</v>
      </c>
      <c r="F81" s="40">
        <f xml:space="preserve">  InpC!F$38</f>
        <v>0</v>
      </c>
      <c r="G81" s="40" t="str">
        <f xml:space="preserve">  InpC!G$38</f>
        <v>Units</v>
      </c>
      <c r="M81" s="80"/>
    </row>
    <row r="82" spans="1:69">
      <c r="A82" s="18"/>
      <c r="B82" s="18"/>
      <c r="C82" s="28"/>
      <c r="D82" s="27"/>
      <c r="E82" s="9" t="str">
        <f xml:space="preserve">  Time!E$28</f>
        <v>Period number</v>
      </c>
      <c r="F82" s="9">
        <f xml:space="preserve">  Time!F$28</f>
        <v>0</v>
      </c>
      <c r="G82" s="9" t="str">
        <f xml:space="preserve">  Time!G$28</f>
        <v>Counter</v>
      </c>
      <c r="H82" s="9">
        <f xml:space="preserve">  Time!H$28</f>
        <v>0</v>
      </c>
      <c r="I82" s="9">
        <f xml:space="preserve">  Time!I$28</f>
        <v>0</v>
      </c>
      <c r="J82" s="9">
        <f xml:space="preserve">  Time!J$28</f>
        <v>1</v>
      </c>
      <c r="K82" s="9">
        <f xml:space="preserve">  Time!K$28</f>
        <v>2</v>
      </c>
      <c r="L82" s="9">
        <f xml:space="preserve">  Time!L$28</f>
        <v>3</v>
      </c>
      <c r="M82" s="9">
        <f xml:space="preserve">  Time!M$28</f>
        <v>4</v>
      </c>
      <c r="N82" s="9">
        <f xml:space="preserve">  Time!N$28</f>
        <v>5</v>
      </c>
      <c r="O82" s="9">
        <f xml:space="preserve">  Time!O$28</f>
        <v>6</v>
      </c>
      <c r="P82" s="9">
        <f xml:space="preserve">  Time!P$28</f>
        <v>7</v>
      </c>
      <c r="Q82" s="9">
        <f xml:space="preserve">  Time!Q$28</f>
        <v>8</v>
      </c>
      <c r="R82" s="9">
        <f xml:space="preserve">  Time!R$28</f>
        <v>9</v>
      </c>
      <c r="S82" s="9">
        <f xml:space="preserve">  Time!S$28</f>
        <v>10</v>
      </c>
      <c r="T82" s="9">
        <f xml:space="preserve">  Time!T$28</f>
        <v>11</v>
      </c>
      <c r="U82" s="9">
        <f xml:space="preserve">  Time!U$28</f>
        <v>12</v>
      </c>
      <c r="V82" s="9">
        <f xml:space="preserve">  Time!V$28</f>
        <v>13</v>
      </c>
      <c r="W82" s="9">
        <f xml:space="preserve">  Time!W$28</f>
        <v>14</v>
      </c>
      <c r="X82" s="9">
        <f xml:space="preserve">  Time!X$28</f>
        <v>15</v>
      </c>
      <c r="Y82" s="9">
        <f xml:space="preserve">  Time!Y$28</f>
        <v>16</v>
      </c>
      <c r="Z82" s="9">
        <f xml:space="preserve">  Time!Z$28</f>
        <v>17</v>
      </c>
      <c r="AA82" s="9">
        <f xml:space="preserve">  Time!AA$28</f>
        <v>18</v>
      </c>
      <c r="AB82" s="9">
        <f xml:space="preserve">  Time!AB$28</f>
        <v>19</v>
      </c>
      <c r="AC82" s="9">
        <f xml:space="preserve">  Time!AC$28</f>
        <v>20</v>
      </c>
      <c r="AD82" s="9">
        <f xml:space="preserve">  Time!AD$28</f>
        <v>21</v>
      </c>
      <c r="AE82" s="9">
        <f xml:space="preserve">  Time!AE$28</f>
        <v>22</v>
      </c>
      <c r="AF82" s="9">
        <f xml:space="preserve">  Time!AF$28</f>
        <v>23</v>
      </c>
      <c r="AG82" s="9">
        <f xml:space="preserve">  Time!AG$28</f>
        <v>24</v>
      </c>
      <c r="AH82" s="9">
        <f xml:space="preserve">  Time!AH$28</f>
        <v>25</v>
      </c>
      <c r="AI82" s="9">
        <f xml:space="preserve">  Time!AI$28</f>
        <v>26</v>
      </c>
      <c r="AJ82" s="9">
        <f xml:space="preserve">  Time!AJ$28</f>
        <v>27</v>
      </c>
      <c r="AK82" s="9">
        <f xml:space="preserve">  Time!AK$28</f>
        <v>28</v>
      </c>
      <c r="AL82" s="9">
        <f xml:space="preserve">  Time!AL$28</f>
        <v>29</v>
      </c>
      <c r="AM82" s="9">
        <f xml:space="preserve">  Time!AM$28</f>
        <v>30</v>
      </c>
      <c r="AN82" s="9">
        <f xml:space="preserve">  Time!AN$28</f>
        <v>31</v>
      </c>
      <c r="AO82" s="9">
        <f xml:space="preserve">  Time!AO$28</f>
        <v>32</v>
      </c>
      <c r="AP82" s="9">
        <f xml:space="preserve">  Time!AP$28</f>
        <v>33</v>
      </c>
      <c r="AQ82" s="9">
        <f xml:space="preserve">  Time!AQ$28</f>
        <v>34</v>
      </c>
      <c r="AR82" s="9">
        <f xml:space="preserve">  Time!AR$28</f>
        <v>35</v>
      </c>
      <c r="AS82" s="9">
        <f xml:space="preserve">  Time!AS$28</f>
        <v>36</v>
      </c>
      <c r="AT82" s="9">
        <f xml:space="preserve">  Time!AT$28</f>
        <v>37</v>
      </c>
      <c r="AU82" s="9">
        <f xml:space="preserve">  Time!AU$28</f>
        <v>38</v>
      </c>
      <c r="AV82" s="9">
        <f xml:space="preserve">  Time!AV$28</f>
        <v>39</v>
      </c>
      <c r="AW82" s="9">
        <f xml:space="preserve">  Time!AW$28</f>
        <v>40</v>
      </c>
      <c r="AX82" s="9">
        <f xml:space="preserve">  Time!AX$28</f>
        <v>41</v>
      </c>
      <c r="AY82" s="9">
        <f xml:space="preserve">  Time!AY$28</f>
        <v>42</v>
      </c>
      <c r="AZ82" s="9">
        <f xml:space="preserve">  Time!AZ$28</f>
        <v>43</v>
      </c>
      <c r="BA82" s="9">
        <f xml:space="preserve">  Time!BA$28</f>
        <v>44</v>
      </c>
      <c r="BB82" s="9">
        <f xml:space="preserve">  Time!BB$28</f>
        <v>45</v>
      </c>
      <c r="BC82" s="9">
        <f xml:space="preserve">  Time!BC$28</f>
        <v>46</v>
      </c>
      <c r="BD82" s="9">
        <f xml:space="preserve">  Time!BD$28</f>
        <v>47</v>
      </c>
      <c r="BE82" s="9">
        <f xml:space="preserve">  Time!BE$28</f>
        <v>48</v>
      </c>
      <c r="BF82" s="9">
        <f xml:space="preserve">  Time!BF$28</f>
        <v>49</v>
      </c>
      <c r="BG82" s="9">
        <f xml:space="preserve">  Time!BG$28</f>
        <v>50</v>
      </c>
      <c r="BH82" s="9">
        <f xml:space="preserve">  Time!BH$28</f>
        <v>51</v>
      </c>
      <c r="BI82" s="9">
        <f xml:space="preserve">  Time!BI$28</f>
        <v>52</v>
      </c>
      <c r="BJ82" s="9">
        <f xml:space="preserve">  Time!BJ$28</f>
        <v>53</v>
      </c>
      <c r="BK82" s="9">
        <f xml:space="preserve">  Time!BK$28</f>
        <v>54</v>
      </c>
      <c r="BL82" s="9">
        <f xml:space="preserve">  Time!BL$28</f>
        <v>55</v>
      </c>
      <c r="BM82" s="9">
        <f xml:space="preserve">  Time!BM$28</f>
        <v>56</v>
      </c>
      <c r="BN82" s="9">
        <f xml:space="preserve">  Time!BN$28</f>
        <v>57</v>
      </c>
      <c r="BO82" s="9">
        <f xml:space="preserve">  Time!BO$28</f>
        <v>58</v>
      </c>
      <c r="BP82" s="9">
        <f xml:space="preserve">  Time!BP$28</f>
        <v>59</v>
      </c>
      <c r="BQ82" s="9">
        <f xml:space="preserve">  Time!BQ$28</f>
        <v>60</v>
      </c>
    </row>
    <row r="83" spans="1:69">
      <c r="E83" s="47" t="s">
        <v>153</v>
      </c>
      <c r="G83" s="47" t="s">
        <v>123</v>
      </c>
      <c r="J83" s="2">
        <f t="shared" ref="J83:BQ83" si="23" xml:space="preserve">  I85</f>
        <v>0</v>
      </c>
      <c r="K83" s="2">
        <f t="shared" ca="1" si="23"/>
        <v>0</v>
      </c>
      <c r="L83" s="2">
        <f t="shared" ca="1" si="23"/>
        <v>0</v>
      </c>
      <c r="M83" s="2">
        <f t="shared" ca="1" si="23"/>
        <v>0</v>
      </c>
      <c r="N83" s="2">
        <f t="shared" ca="1" si="23"/>
        <v>0</v>
      </c>
      <c r="O83" s="2">
        <f t="shared" ca="1" si="23"/>
        <v>0</v>
      </c>
      <c r="P83" s="2">
        <f t="shared" ca="1" si="23"/>
        <v>0</v>
      </c>
      <c r="Q83" s="2">
        <f t="shared" ca="1" si="23"/>
        <v>0</v>
      </c>
      <c r="R83" s="2">
        <f t="shared" ca="1" si="23"/>
        <v>0</v>
      </c>
      <c r="S83" s="2">
        <f t="shared" ca="1" si="23"/>
        <v>0</v>
      </c>
      <c r="T83" s="2">
        <f t="shared" ca="1" si="23"/>
        <v>0</v>
      </c>
      <c r="U83" s="2">
        <f t="shared" ca="1" si="23"/>
        <v>0</v>
      </c>
      <c r="V83" s="2">
        <f t="shared" ca="1" si="23"/>
        <v>0</v>
      </c>
      <c r="W83" s="2">
        <f t="shared" ca="1" si="23"/>
        <v>0</v>
      </c>
      <c r="X83" s="2">
        <f t="shared" ca="1" si="23"/>
        <v>0</v>
      </c>
      <c r="Y83" s="2">
        <f t="shared" ca="1" si="23"/>
        <v>0</v>
      </c>
      <c r="Z83" s="2">
        <f t="shared" ca="1" si="23"/>
        <v>0</v>
      </c>
      <c r="AA83" s="2">
        <f t="shared" ca="1" si="23"/>
        <v>0</v>
      </c>
      <c r="AB83" s="2">
        <f t="shared" ca="1" si="23"/>
        <v>0</v>
      </c>
      <c r="AC83" s="2">
        <f t="shared" ca="1" si="23"/>
        <v>0</v>
      </c>
      <c r="AD83" s="2">
        <f t="shared" ca="1" si="23"/>
        <v>0</v>
      </c>
      <c r="AE83" s="2">
        <f t="shared" ca="1" si="23"/>
        <v>0</v>
      </c>
      <c r="AF83" s="2">
        <f t="shared" ca="1" si="23"/>
        <v>0</v>
      </c>
      <c r="AG83" s="2">
        <f t="shared" ca="1" si="23"/>
        <v>0</v>
      </c>
      <c r="AH83" s="2">
        <f t="shared" ca="1" si="23"/>
        <v>0</v>
      </c>
      <c r="AI83" s="2">
        <f t="shared" ca="1" si="23"/>
        <v>1000</v>
      </c>
      <c r="AJ83" s="2">
        <f t="shared" ca="1" si="23"/>
        <v>2000</v>
      </c>
      <c r="AK83" s="2">
        <f t="shared" ca="1" si="23"/>
        <v>3000</v>
      </c>
      <c r="AL83" s="2">
        <f t="shared" ca="1" si="23"/>
        <v>4000</v>
      </c>
      <c r="AM83" s="2">
        <f t="shared" ca="1" si="23"/>
        <v>7000</v>
      </c>
      <c r="AN83" s="2">
        <f t="shared" ca="1" si="23"/>
        <v>10000</v>
      </c>
      <c r="AO83" s="2">
        <f t="shared" ca="1" si="23"/>
        <v>13000</v>
      </c>
      <c r="AP83" s="2">
        <f t="shared" ca="1" si="23"/>
        <v>18000</v>
      </c>
      <c r="AQ83" s="2">
        <f t="shared" ca="1" si="23"/>
        <v>23000</v>
      </c>
      <c r="AR83" s="2">
        <f t="shared" ca="1" si="23"/>
        <v>28000</v>
      </c>
      <c r="AS83" s="2">
        <f t="shared" ca="1" si="23"/>
        <v>33000</v>
      </c>
      <c r="AT83" s="2">
        <f t="shared" ca="1" si="23"/>
        <v>38000</v>
      </c>
      <c r="AU83" s="2">
        <f t="shared" ca="1" si="23"/>
        <v>43297.315471796479</v>
      </c>
      <c r="AV83" s="2">
        <f t="shared" ca="1" si="23"/>
        <v>48909.625713343346</v>
      </c>
      <c r="AW83" s="2">
        <f t="shared" ca="1" si="23"/>
        <v>54855.661288356954</v>
      </c>
      <c r="AX83" s="2">
        <f t="shared" ca="1" si="23"/>
        <v>61155.266537831318</v>
      </c>
      <c r="AY83" s="2">
        <f t="shared" ca="1" si="23"/>
        <v>67829.465808681489</v>
      </c>
      <c r="AZ83" s="2">
        <f t="shared" ca="1" si="23"/>
        <v>74900.533620546965</v>
      </c>
      <c r="BA83" s="2">
        <f t="shared" ca="1" si="23"/>
        <v>82392.069004930367</v>
      </c>
      <c r="BB83" s="2">
        <f t="shared" ca="1" si="23"/>
        <v>90329.074264771363</v>
      </c>
      <c r="BC83" s="2">
        <f t="shared" ca="1" si="23"/>
        <v>98738.038417308504</v>
      </c>
      <c r="BD83" s="2">
        <f t="shared" ca="1" si="23"/>
        <v>107647.0255987119</v>
      </c>
      <c r="BE83" s="2">
        <f t="shared" ca="1" si="23"/>
        <v>117085.76872552883</v>
      </c>
      <c r="BF83" s="2">
        <f t="shared" ca="1" si="23"/>
        <v>127085.76872552883</v>
      </c>
      <c r="BG83" s="2">
        <f t="shared" ca="1" si="23"/>
        <v>138580.39966912178</v>
      </c>
      <c r="BH83" s="2">
        <f t="shared" ca="1" si="23"/>
        <v>150705.0201522155</v>
      </c>
      <c r="BI83" s="2">
        <f t="shared" ca="1" si="23"/>
        <v>163497.09130224271</v>
      </c>
      <c r="BJ83" s="2">
        <f t="shared" ca="1" si="23"/>
        <v>176996.30180119144</v>
      </c>
      <c r="BK83" s="2">
        <f t="shared" ca="1" si="23"/>
        <v>193044.7003428918</v>
      </c>
      <c r="BL83" s="2">
        <f t="shared" ca="1" si="23"/>
        <v>209886.83596662275</v>
      </c>
      <c r="BM83" s="2">
        <f t="shared" ca="1" si="23"/>
        <v>227569.90673538958</v>
      </c>
      <c r="BN83" s="2">
        <f t="shared" ca="1" si="23"/>
        <v>247943.91725507157</v>
      </c>
      <c r="BO83" s="2">
        <f t="shared" ca="1" si="23"/>
        <v>269261.84556014586</v>
      </c>
      <c r="BP83" s="2">
        <f t="shared" ca="1" si="23"/>
        <v>291579.81992295268</v>
      </c>
      <c r="BQ83" s="2">
        <f t="shared" ca="1" si="23"/>
        <v>314957.30617658654</v>
      </c>
    </row>
    <row r="84" spans="1:69">
      <c r="D84" s="91" t="s">
        <v>219</v>
      </c>
      <c r="E84" s="2" t="str">
        <f t="shared" ref="E84:BQ84" si="24" xml:space="preserve">  E$77</f>
        <v>Units retired</v>
      </c>
      <c r="F84" s="2">
        <f t="shared" si="24"/>
        <v>0</v>
      </c>
      <c r="G84" s="2" t="str">
        <f t="shared" si="24"/>
        <v>Units</v>
      </c>
      <c r="H84" s="2">
        <f t="shared" ca="1" si="24"/>
        <v>339457.30617658654</v>
      </c>
      <c r="I84" s="2">
        <f t="shared" si="24"/>
        <v>0</v>
      </c>
      <c r="J84" s="2">
        <f t="shared" ca="1" si="24"/>
        <v>0</v>
      </c>
      <c r="K84" s="2">
        <f t="shared" ca="1" si="24"/>
        <v>0</v>
      </c>
      <c r="L84" s="2">
        <f t="shared" ca="1" si="24"/>
        <v>0</v>
      </c>
      <c r="M84" s="2">
        <f t="shared" ca="1" si="24"/>
        <v>0</v>
      </c>
      <c r="N84" s="2">
        <f t="shared" ca="1" si="24"/>
        <v>0</v>
      </c>
      <c r="O84" s="2">
        <f t="shared" ca="1" si="24"/>
        <v>0</v>
      </c>
      <c r="P84" s="2">
        <f t="shared" ca="1" si="24"/>
        <v>0</v>
      </c>
      <c r="Q84" s="2">
        <f t="shared" ca="1" si="24"/>
        <v>0</v>
      </c>
      <c r="R84" s="2">
        <f t="shared" ca="1" si="24"/>
        <v>0</v>
      </c>
      <c r="S84" s="2">
        <f t="shared" ca="1" si="24"/>
        <v>0</v>
      </c>
      <c r="T84" s="2">
        <f t="shared" ca="1" si="24"/>
        <v>0</v>
      </c>
      <c r="U84" s="2">
        <f t="shared" ca="1" si="24"/>
        <v>0</v>
      </c>
      <c r="V84" s="2">
        <f t="shared" ca="1" si="24"/>
        <v>0</v>
      </c>
      <c r="W84" s="2">
        <f t="shared" ca="1" si="24"/>
        <v>0</v>
      </c>
      <c r="X84" s="2">
        <f t="shared" ca="1" si="24"/>
        <v>0</v>
      </c>
      <c r="Y84" s="2">
        <f t="shared" ca="1" si="24"/>
        <v>0</v>
      </c>
      <c r="Z84" s="2">
        <f t="shared" ca="1" si="24"/>
        <v>0</v>
      </c>
      <c r="AA84" s="2">
        <f t="shared" ca="1" si="24"/>
        <v>0</v>
      </c>
      <c r="AB84" s="2">
        <f t="shared" ca="1" si="24"/>
        <v>0</v>
      </c>
      <c r="AC84" s="2">
        <f t="shared" ca="1" si="24"/>
        <v>0</v>
      </c>
      <c r="AD84" s="2">
        <f t="shared" ca="1" si="24"/>
        <v>0</v>
      </c>
      <c r="AE84" s="2">
        <f t="shared" ca="1" si="24"/>
        <v>0</v>
      </c>
      <c r="AF84" s="2">
        <f t="shared" ca="1" si="24"/>
        <v>0</v>
      </c>
      <c r="AG84" s="2">
        <f t="shared" ca="1" si="24"/>
        <v>0</v>
      </c>
      <c r="AH84" s="2">
        <f t="shared" ca="1" si="24"/>
        <v>1000</v>
      </c>
      <c r="AI84" s="2">
        <f t="shared" ca="1" si="24"/>
        <v>1000</v>
      </c>
      <c r="AJ84" s="2">
        <f t="shared" ca="1" si="24"/>
        <v>1000</v>
      </c>
      <c r="AK84" s="2">
        <f t="shared" ca="1" si="24"/>
        <v>1000</v>
      </c>
      <c r="AL84" s="2">
        <f t="shared" ca="1" si="24"/>
        <v>3000</v>
      </c>
      <c r="AM84" s="2">
        <f t="shared" ca="1" si="24"/>
        <v>3000</v>
      </c>
      <c r="AN84" s="2">
        <f t="shared" ca="1" si="24"/>
        <v>3000</v>
      </c>
      <c r="AO84" s="2">
        <f t="shared" ca="1" si="24"/>
        <v>5000</v>
      </c>
      <c r="AP84" s="2">
        <f t="shared" ca="1" si="24"/>
        <v>5000</v>
      </c>
      <c r="AQ84" s="2">
        <f t="shared" ca="1" si="24"/>
        <v>5000</v>
      </c>
      <c r="AR84" s="2">
        <f t="shared" ca="1" si="24"/>
        <v>5000</v>
      </c>
      <c r="AS84" s="2">
        <f t="shared" ca="1" si="24"/>
        <v>5000</v>
      </c>
      <c r="AT84" s="2">
        <f t="shared" ca="1" si="24"/>
        <v>5297.3154717964762</v>
      </c>
      <c r="AU84" s="2">
        <f t="shared" ca="1" si="24"/>
        <v>5612.3102415468647</v>
      </c>
      <c r="AV84" s="2">
        <f t="shared" ca="1" si="24"/>
        <v>5946.035575013605</v>
      </c>
      <c r="AW84" s="2">
        <f t="shared" ca="1" si="24"/>
        <v>6299.6052494743653</v>
      </c>
      <c r="AX84" s="2">
        <f t="shared" ca="1" si="24"/>
        <v>6674.1992708501712</v>
      </c>
      <c r="AY84" s="2">
        <f t="shared" ca="1" si="24"/>
        <v>7071.0678118654751</v>
      </c>
      <c r="AZ84" s="2">
        <f t="shared" ca="1" si="24"/>
        <v>7491.5353843834073</v>
      </c>
      <c r="BA84" s="2">
        <f t="shared" ca="1" si="24"/>
        <v>7937.0052598409975</v>
      </c>
      <c r="BB84" s="2">
        <f t="shared" ca="1" si="24"/>
        <v>8408.9641525371462</v>
      </c>
      <c r="BC84" s="2">
        <f t="shared" ca="1" si="24"/>
        <v>8908.9871814033941</v>
      </c>
      <c r="BD84" s="2">
        <f t="shared" ca="1" si="24"/>
        <v>9438.7431268169366</v>
      </c>
      <c r="BE84" s="2">
        <f t="shared" ca="1" si="24"/>
        <v>10000.000000000002</v>
      </c>
      <c r="BF84" s="2">
        <f t="shared" ca="1" si="24"/>
        <v>11494.630943592954</v>
      </c>
      <c r="BG84" s="2">
        <f t="shared" ca="1" si="24"/>
        <v>12124.620483093731</v>
      </c>
      <c r="BH84" s="2">
        <f t="shared" ca="1" si="24"/>
        <v>12792.071150027214</v>
      </c>
      <c r="BI84" s="2">
        <f t="shared" ca="1" si="24"/>
        <v>13499.210498948736</v>
      </c>
      <c r="BJ84" s="2">
        <f t="shared" ca="1" si="24"/>
        <v>16048.39854170035</v>
      </c>
      <c r="BK84" s="2">
        <f t="shared" ca="1" si="24"/>
        <v>16842.135623730959</v>
      </c>
      <c r="BL84" s="2">
        <f t="shared" ca="1" si="24"/>
        <v>17683.070768766825</v>
      </c>
      <c r="BM84" s="2">
        <f t="shared" ca="1" si="24"/>
        <v>20374.010519682004</v>
      </c>
      <c r="BN84" s="2">
        <f t="shared" ca="1" si="24"/>
        <v>21317.9283050743</v>
      </c>
      <c r="BO84" s="2">
        <f t="shared" ca="1" si="24"/>
        <v>22317.974362806795</v>
      </c>
      <c r="BP84" s="2">
        <f t="shared" ca="1" si="24"/>
        <v>23377.486253633881</v>
      </c>
      <c r="BQ84" s="2">
        <f t="shared" ca="1" si="24"/>
        <v>24500.000000000011</v>
      </c>
    </row>
    <row r="85" spans="1:69" s="81" customFormat="1">
      <c r="A85" s="63"/>
      <c r="B85" s="63"/>
      <c r="C85" s="88"/>
      <c r="D85" s="90"/>
      <c r="E85" s="33" t="s">
        <v>222</v>
      </c>
      <c r="F85" s="33"/>
      <c r="G85" s="33" t="s">
        <v>123</v>
      </c>
      <c r="H85" s="33"/>
      <c r="I85" s="11">
        <f t="shared" ref="I85:BQ85" si="25" xml:space="preserve">  IF( I82 = 0, $F81, I83 + I84 )</f>
        <v>0</v>
      </c>
      <c r="J85" s="11">
        <f t="shared" ca="1" si="25"/>
        <v>0</v>
      </c>
      <c r="K85" s="11">
        <f t="shared" ca="1" si="25"/>
        <v>0</v>
      </c>
      <c r="L85" s="11">
        <f t="shared" ca="1" si="25"/>
        <v>0</v>
      </c>
      <c r="M85" s="11">
        <f t="shared" ca="1" si="25"/>
        <v>0</v>
      </c>
      <c r="N85" s="11">
        <f t="shared" ca="1" si="25"/>
        <v>0</v>
      </c>
      <c r="O85" s="11">
        <f t="shared" ca="1" si="25"/>
        <v>0</v>
      </c>
      <c r="P85" s="11">
        <f t="shared" ca="1" si="25"/>
        <v>0</v>
      </c>
      <c r="Q85" s="11">
        <f t="shared" ca="1" si="25"/>
        <v>0</v>
      </c>
      <c r="R85" s="11">
        <f t="shared" ca="1" si="25"/>
        <v>0</v>
      </c>
      <c r="S85" s="11">
        <f t="shared" ca="1" si="25"/>
        <v>0</v>
      </c>
      <c r="T85" s="11">
        <f t="shared" ca="1" si="25"/>
        <v>0</v>
      </c>
      <c r="U85" s="11">
        <f t="shared" ca="1" si="25"/>
        <v>0</v>
      </c>
      <c r="V85" s="11">
        <f t="shared" ca="1" si="25"/>
        <v>0</v>
      </c>
      <c r="W85" s="11">
        <f t="shared" ca="1" si="25"/>
        <v>0</v>
      </c>
      <c r="X85" s="11">
        <f t="shared" ca="1" si="25"/>
        <v>0</v>
      </c>
      <c r="Y85" s="11">
        <f t="shared" ca="1" si="25"/>
        <v>0</v>
      </c>
      <c r="Z85" s="11">
        <f t="shared" ca="1" si="25"/>
        <v>0</v>
      </c>
      <c r="AA85" s="11">
        <f t="shared" ca="1" si="25"/>
        <v>0</v>
      </c>
      <c r="AB85" s="11">
        <f t="shared" ca="1" si="25"/>
        <v>0</v>
      </c>
      <c r="AC85" s="11">
        <f t="shared" ca="1" si="25"/>
        <v>0</v>
      </c>
      <c r="AD85" s="11">
        <f t="shared" ca="1" si="25"/>
        <v>0</v>
      </c>
      <c r="AE85" s="11">
        <f t="shared" ca="1" si="25"/>
        <v>0</v>
      </c>
      <c r="AF85" s="11">
        <f t="shared" ca="1" si="25"/>
        <v>0</v>
      </c>
      <c r="AG85" s="11">
        <f t="shared" ca="1" si="25"/>
        <v>0</v>
      </c>
      <c r="AH85" s="11">
        <f t="shared" ca="1" si="25"/>
        <v>1000</v>
      </c>
      <c r="AI85" s="11">
        <f t="shared" ca="1" si="25"/>
        <v>2000</v>
      </c>
      <c r="AJ85" s="11">
        <f t="shared" ca="1" si="25"/>
        <v>3000</v>
      </c>
      <c r="AK85" s="11">
        <f t="shared" ca="1" si="25"/>
        <v>4000</v>
      </c>
      <c r="AL85" s="11">
        <f t="shared" ca="1" si="25"/>
        <v>7000</v>
      </c>
      <c r="AM85" s="11">
        <f t="shared" ca="1" si="25"/>
        <v>10000</v>
      </c>
      <c r="AN85" s="11">
        <f t="shared" ca="1" si="25"/>
        <v>13000</v>
      </c>
      <c r="AO85" s="11">
        <f t="shared" ca="1" si="25"/>
        <v>18000</v>
      </c>
      <c r="AP85" s="11">
        <f t="shared" ca="1" si="25"/>
        <v>23000</v>
      </c>
      <c r="AQ85" s="11">
        <f t="shared" ca="1" si="25"/>
        <v>28000</v>
      </c>
      <c r="AR85" s="11">
        <f t="shared" ca="1" si="25"/>
        <v>33000</v>
      </c>
      <c r="AS85" s="11">
        <f t="shared" ca="1" si="25"/>
        <v>38000</v>
      </c>
      <c r="AT85" s="11">
        <f t="shared" ca="1" si="25"/>
        <v>43297.315471796479</v>
      </c>
      <c r="AU85" s="11">
        <f t="shared" ca="1" si="25"/>
        <v>48909.625713343346</v>
      </c>
      <c r="AV85" s="11">
        <f t="shared" ca="1" si="25"/>
        <v>54855.661288356954</v>
      </c>
      <c r="AW85" s="11">
        <f t="shared" ca="1" si="25"/>
        <v>61155.266537831318</v>
      </c>
      <c r="AX85" s="11">
        <f t="shared" ca="1" si="25"/>
        <v>67829.465808681489</v>
      </c>
      <c r="AY85" s="11">
        <f t="shared" ca="1" si="25"/>
        <v>74900.533620546965</v>
      </c>
      <c r="AZ85" s="11">
        <f t="shared" ca="1" si="25"/>
        <v>82392.069004930367</v>
      </c>
      <c r="BA85" s="11">
        <f t="shared" ca="1" si="25"/>
        <v>90329.074264771363</v>
      </c>
      <c r="BB85" s="11">
        <f t="shared" ca="1" si="25"/>
        <v>98738.038417308504</v>
      </c>
      <c r="BC85" s="11">
        <f t="shared" ca="1" si="25"/>
        <v>107647.0255987119</v>
      </c>
      <c r="BD85" s="11">
        <f t="shared" ca="1" si="25"/>
        <v>117085.76872552883</v>
      </c>
      <c r="BE85" s="11">
        <f t="shared" ca="1" si="25"/>
        <v>127085.76872552883</v>
      </c>
      <c r="BF85" s="11">
        <f t="shared" ca="1" si="25"/>
        <v>138580.39966912178</v>
      </c>
      <c r="BG85" s="11">
        <f t="shared" ca="1" si="25"/>
        <v>150705.0201522155</v>
      </c>
      <c r="BH85" s="11">
        <f t="shared" ca="1" si="25"/>
        <v>163497.09130224271</v>
      </c>
      <c r="BI85" s="11">
        <f t="shared" ca="1" si="25"/>
        <v>176996.30180119144</v>
      </c>
      <c r="BJ85" s="11">
        <f t="shared" ca="1" si="25"/>
        <v>193044.7003428918</v>
      </c>
      <c r="BK85" s="11">
        <f t="shared" ca="1" si="25"/>
        <v>209886.83596662275</v>
      </c>
      <c r="BL85" s="11">
        <f t="shared" ca="1" si="25"/>
        <v>227569.90673538958</v>
      </c>
      <c r="BM85" s="11">
        <f t="shared" ca="1" si="25"/>
        <v>247943.91725507157</v>
      </c>
      <c r="BN85" s="11">
        <f t="shared" ca="1" si="25"/>
        <v>269261.84556014586</v>
      </c>
      <c r="BO85" s="11">
        <f t="shared" ca="1" si="25"/>
        <v>291579.81992295268</v>
      </c>
      <c r="BP85" s="11">
        <f t="shared" ca="1" si="25"/>
        <v>314957.30617658654</v>
      </c>
      <c r="BQ85" s="11">
        <f t="shared" ca="1" si="25"/>
        <v>339457.30617658654</v>
      </c>
    </row>
    <row r="88" spans="1:69">
      <c r="B88" s="25" t="s">
        <v>271</v>
      </c>
    </row>
  </sheetData>
  <conditionalFormatting sqref="F3">
    <cfRule type="cellIs" dxfId="284" priority="13" stopIfTrue="1" operator="notEqual">
      <formula>0</formula>
    </cfRule>
    <cfRule type="cellIs" dxfId="283" priority="14" stopIfTrue="1" operator="equal">
      <formula>""</formula>
    </cfRule>
  </conditionalFormatting>
  <conditionalFormatting sqref="J3:BQ3">
    <cfRule type="cellIs" dxfId="282" priority="11" stopIfTrue="1" operator="equal">
      <formula>"Construction"</formula>
    </cfRule>
    <cfRule type="cellIs" dxfId="281" priority="12" stopIfTrue="1" operator="equal">
      <formula>"Operations"</formula>
    </cfRule>
  </conditionalFormatting>
  <conditionalFormatting sqref="J3:BQ3">
    <cfRule type="cellIs" dxfId="280" priority="10" operator="equal">
      <formula>"Fin Close"</formula>
    </cfRule>
  </conditionalFormatting>
  <conditionalFormatting sqref="J3:BQ3">
    <cfRule type="cellIs" dxfId="279" priority="8" operator="equal">
      <formula>"PPA ext."</formula>
    </cfRule>
    <cfRule type="cellIs" dxfId="278" priority="9" operator="equal">
      <formula>"Delay"</formula>
    </cfRule>
  </conditionalFormatting>
  <conditionalFormatting sqref="F2">
    <cfRule type="cellIs" dxfId="277" priority="1" stopIfTrue="1" operator="notEqual">
      <formula>0</formula>
    </cfRule>
    <cfRule type="cellIs" dxfId="276"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Q3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31.5546875" style="47" bestFit="1" customWidth="1"/>
    <col min="6" max="6" width="20.5546875" style="47" bestFit="1" customWidth="1"/>
    <col min="7" max="7" width="13.21875" style="47" bestFit="1" customWidth="1"/>
    <col min="8" max="8" width="13.8867187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44" width="12.44140625" style="47" bestFit="1" customWidth="1"/>
    <col min="45"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Assets</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175</v>
      </c>
    </row>
    <row r="9" spans="1:69" outlineLevel="1">
      <c r="A9" s="18"/>
      <c r="B9" s="18"/>
      <c r="C9" s="28"/>
      <c r="D9" s="27"/>
      <c r="E9" s="4" t="str">
        <f xml:space="preserve">  InpC!E$34</f>
        <v>Supplier price per unit</v>
      </c>
      <c r="F9" s="4">
        <f xml:space="preserve">  InpC!F$34</f>
        <v>35</v>
      </c>
      <c r="G9" s="4" t="str">
        <f xml:space="preserve">  InpC!G$34</f>
        <v>GBP</v>
      </c>
      <c r="M9" s="2"/>
    </row>
    <row r="10" spans="1:69" outlineLevel="1">
      <c r="A10" s="18"/>
      <c r="B10" s="18"/>
      <c r="C10" s="28"/>
      <c r="D10" s="27"/>
      <c r="E10" s="4" t="str">
        <f xml:space="preserve">  InpC!E$39</f>
        <v>Depreciation Term</v>
      </c>
      <c r="F10" s="4">
        <f xml:space="preserve">  InpC!F$39</f>
        <v>24</v>
      </c>
      <c r="G10" s="4" t="str">
        <f xml:space="preserve">  InpC!G$39</f>
        <v>Months</v>
      </c>
      <c r="M10" s="2"/>
    </row>
    <row r="11" spans="1:69" outlineLevel="1">
      <c r="E11" s="2" t="str">
        <f t="shared" ref="E11:BQ11" si="0" xml:space="preserve">  E$20</f>
        <v>Inventory BEG</v>
      </c>
      <c r="F11" s="2">
        <f t="shared" si="0"/>
        <v>0</v>
      </c>
      <c r="G11" s="2" t="str">
        <f t="shared" si="0"/>
        <v>GBP</v>
      </c>
      <c r="H11" s="2">
        <f t="shared" si="0"/>
        <v>0</v>
      </c>
      <c r="I11" s="2">
        <f t="shared" si="0"/>
        <v>0</v>
      </c>
      <c r="J11" s="2">
        <f t="shared" si="0"/>
        <v>0</v>
      </c>
      <c r="K11" s="2">
        <f t="shared" ca="1" si="0"/>
        <v>0</v>
      </c>
      <c r="L11" s="2">
        <f t="shared" ca="1" si="0"/>
        <v>0</v>
      </c>
      <c r="M11" s="2">
        <f t="shared" ca="1" si="0"/>
        <v>350000</v>
      </c>
      <c r="N11" s="2">
        <f t="shared" ca="1" si="0"/>
        <v>700000</v>
      </c>
      <c r="O11" s="2">
        <f t="shared" ca="1" si="0"/>
        <v>1050000</v>
      </c>
      <c r="P11" s="2">
        <f t="shared" ca="1" si="0"/>
        <v>1050000</v>
      </c>
      <c r="Q11" s="2">
        <f t="shared" ca="1" si="0"/>
        <v>1400000</v>
      </c>
      <c r="R11" s="2">
        <f t="shared" ca="1" si="0"/>
        <v>1400000</v>
      </c>
      <c r="S11" s="2">
        <f t="shared" ca="1" si="0"/>
        <v>1750000</v>
      </c>
      <c r="T11" s="2">
        <f t="shared" ca="1" si="0"/>
        <v>1750000</v>
      </c>
      <c r="U11" s="2">
        <f t="shared" ca="1" si="0"/>
        <v>1750000</v>
      </c>
      <c r="V11" s="2">
        <f t="shared" ca="1" si="0"/>
        <v>1750000</v>
      </c>
      <c r="W11" s="2">
        <f t="shared" ca="1" si="0"/>
        <v>1750000</v>
      </c>
      <c r="X11" s="2">
        <f t="shared" ca="1" si="0"/>
        <v>1750000</v>
      </c>
      <c r="Y11" s="2">
        <f t="shared" ca="1" si="0"/>
        <v>1750000</v>
      </c>
      <c r="Z11" s="2">
        <f t="shared" ca="1" si="0"/>
        <v>1925000</v>
      </c>
      <c r="AA11" s="2">
        <f t="shared" ca="1" si="0"/>
        <v>2100000</v>
      </c>
      <c r="AB11" s="2">
        <f t="shared" ca="1" si="0"/>
        <v>2275000</v>
      </c>
      <c r="AC11" s="2">
        <f t="shared" ca="1" si="0"/>
        <v>2625000</v>
      </c>
      <c r="AD11" s="2">
        <f t="shared" ca="1" si="0"/>
        <v>2975000</v>
      </c>
      <c r="AE11" s="2">
        <f t="shared" ca="1" si="0"/>
        <v>3150000</v>
      </c>
      <c r="AF11" s="2">
        <f t="shared" ca="1" si="0"/>
        <v>3500000</v>
      </c>
      <c r="AG11" s="2">
        <f t="shared" ca="1" si="0"/>
        <v>3850000</v>
      </c>
      <c r="AH11" s="2">
        <f t="shared" ca="1" si="0"/>
        <v>4200000</v>
      </c>
      <c r="AI11" s="2">
        <f t="shared" ca="1" si="0"/>
        <v>4515000</v>
      </c>
      <c r="AJ11" s="2">
        <f t="shared" ca="1" si="0"/>
        <v>5005000</v>
      </c>
      <c r="AK11" s="2">
        <f t="shared" ca="1" si="0"/>
        <v>5320000</v>
      </c>
      <c r="AL11" s="2">
        <f t="shared" ca="1" si="0"/>
        <v>5810000</v>
      </c>
      <c r="AM11" s="2">
        <f t="shared" ca="1" si="0"/>
        <v>6230000</v>
      </c>
      <c r="AN11" s="2">
        <f t="shared" ca="1" si="0"/>
        <v>6650000</v>
      </c>
      <c r="AO11" s="2">
        <f t="shared" ca="1" si="0"/>
        <v>7245000</v>
      </c>
      <c r="AP11" s="2">
        <f t="shared" ca="1" si="0"/>
        <v>7770000</v>
      </c>
      <c r="AQ11" s="2">
        <f t="shared" ca="1" si="0"/>
        <v>8295000</v>
      </c>
      <c r="AR11" s="2">
        <f t="shared" ca="1" si="0"/>
        <v>8995000</v>
      </c>
      <c r="AS11" s="2">
        <f t="shared" ca="1" si="0"/>
        <v>9520000</v>
      </c>
      <c r="AT11" s="2">
        <f t="shared" ca="1" si="0"/>
        <v>10220000</v>
      </c>
      <c r="AU11" s="2">
        <f t="shared" ca="1" si="0"/>
        <v>11084593.958487123</v>
      </c>
      <c r="AV11" s="2">
        <f t="shared" ca="1" si="0"/>
        <v>11763163.100032983</v>
      </c>
      <c r="AW11" s="2">
        <f t="shared" ca="1" si="0"/>
        <v>12605051.854907507</v>
      </c>
      <c r="AX11" s="2">
        <f t="shared" ca="1" si="0"/>
        <v>13434565.671175905</v>
      </c>
      <c r="AY11" s="2">
        <f t="shared" ca="1" si="0"/>
        <v>14425968.696696149</v>
      </c>
      <c r="AZ11" s="2">
        <f t="shared" ca="1" si="0"/>
        <v>15403481.323280858</v>
      </c>
      <c r="BA11" s="2">
        <f t="shared" ca="1" si="0"/>
        <v>16366277.584827438</v>
      </c>
      <c r="BB11" s="2">
        <f t="shared" ca="1" si="0"/>
        <v>17488482.400733002</v>
      </c>
      <c r="BC11" s="2">
        <f t="shared" ca="1" si="0"/>
        <v>18594168.6553942</v>
      </c>
      <c r="BD11" s="2">
        <f t="shared" ca="1" si="0"/>
        <v>19857354.104045082</v>
      </c>
      <c r="BE11" s="2">
        <f t="shared" ca="1" si="0"/>
        <v>21101998.094606489</v>
      </c>
      <c r="BF11" s="2">
        <f t="shared" ca="1" si="0"/>
        <v>22501998.094606489</v>
      </c>
      <c r="BG11" s="2">
        <f t="shared" ca="1" si="0"/>
        <v>23849686.011580735</v>
      </c>
      <c r="BH11" s="2">
        <f t="shared" ca="1" si="0"/>
        <v>25350324.294672456</v>
      </c>
      <c r="BI11" s="2">
        <f t="shared" ca="1" si="0"/>
        <v>27002601.804421503</v>
      </c>
      <c r="BJ11" s="2">
        <f t="shared" ca="1" si="0"/>
        <v>28630129.436958298</v>
      </c>
      <c r="BK11" s="2">
        <f t="shared" ca="1" si="0"/>
        <v>30343435.487998787</v>
      </c>
      <c r="BL11" s="2">
        <f t="shared" ca="1" si="0"/>
        <v>32203960.741168205</v>
      </c>
      <c r="BM11" s="2">
        <f t="shared" ca="1" si="0"/>
        <v>34210053.264261365</v>
      </c>
      <c r="BN11" s="2">
        <f t="shared" ca="1" si="0"/>
        <v>36121962.896072492</v>
      </c>
      <c r="BO11" s="2">
        <f t="shared" ca="1" si="0"/>
        <v>38350835.405394889</v>
      </c>
      <c r="BP11" s="2">
        <f t="shared" ca="1" si="0"/>
        <v>40544706.302696653</v>
      </c>
      <c r="BQ11" s="2">
        <f t="shared" ca="1" si="0"/>
        <v>43051494.283819467</v>
      </c>
    </row>
    <row r="12" spans="1:69" outlineLevel="1">
      <c r="A12" s="18"/>
      <c r="B12" s="18"/>
      <c r="C12" s="28"/>
      <c r="D12" s="27"/>
      <c r="E12" s="4" t="str">
        <f xml:space="preserve">  Inventory!E$50</f>
        <v>Units on order</v>
      </c>
      <c r="F12" s="4">
        <f xml:space="preserve">  Inventory!F$50</f>
        <v>0</v>
      </c>
      <c r="G12" s="4" t="str">
        <f xml:space="preserve">  Inventory!G$50</f>
        <v>Units</v>
      </c>
      <c r="H12" s="4">
        <f xml:space="preserve">  Inventory!H$50</f>
        <v>0</v>
      </c>
      <c r="I12" s="4">
        <f xml:space="preserve">  Inventory!I$50</f>
        <v>5000</v>
      </c>
      <c r="J12" s="4">
        <f ca="1" xml:space="preserve">  Inventory!J$50</f>
        <v>5000</v>
      </c>
      <c r="K12" s="4">
        <f ca="1" xml:space="preserve">  Inventory!K$50</f>
        <v>0</v>
      </c>
      <c r="L12" s="4">
        <f ca="1" xml:space="preserve">  Inventory!L$50</f>
        <v>10000</v>
      </c>
      <c r="M12" s="4">
        <f ca="1" xml:space="preserve">  Inventory!M$50</f>
        <v>20000</v>
      </c>
      <c r="N12" s="4">
        <f ca="1" xml:space="preserve">  Inventory!N$50</f>
        <v>30000</v>
      </c>
      <c r="O12" s="4">
        <f ca="1" xml:space="preserve">  Inventory!O$50</f>
        <v>20000</v>
      </c>
      <c r="P12" s="4">
        <f ca="1" xml:space="preserve">  Inventory!P$50</f>
        <v>30000</v>
      </c>
      <c r="Q12" s="4">
        <f ca="1" xml:space="preserve">  Inventory!Q$50</f>
        <v>30000</v>
      </c>
      <c r="R12" s="4">
        <f ca="1" xml:space="preserve">  Inventory!R$50</f>
        <v>40000</v>
      </c>
      <c r="S12" s="4">
        <f ca="1" xml:space="preserve">  Inventory!S$50</f>
        <v>30000</v>
      </c>
      <c r="T12" s="4">
        <f ca="1" xml:space="preserve">  Inventory!T$50</f>
        <v>30000</v>
      </c>
      <c r="U12" s="4">
        <f ca="1" xml:space="preserve">  Inventory!U$50</f>
        <v>20000</v>
      </c>
      <c r="V12" s="4">
        <f ca="1" xml:space="preserve">  Inventory!V$50</f>
        <v>10000</v>
      </c>
      <c r="W12" s="4">
        <f ca="1" xml:space="preserve">  Inventory!W$50</f>
        <v>10000</v>
      </c>
      <c r="X12" s="4">
        <f ca="1" xml:space="preserve">  Inventory!X$50</f>
        <v>0</v>
      </c>
      <c r="Y12" s="4">
        <f ca="1" xml:space="preserve">  Inventory!Y$50</f>
        <v>5000</v>
      </c>
      <c r="Z12" s="4">
        <f ca="1" xml:space="preserve">  Inventory!Z$50</f>
        <v>10000</v>
      </c>
      <c r="AA12" s="4">
        <f ca="1" xml:space="preserve">  Inventory!AA$50</f>
        <v>15000</v>
      </c>
      <c r="AB12" s="4">
        <f ca="1" xml:space="preserve">  Inventory!AB$50</f>
        <v>25000</v>
      </c>
      <c r="AC12" s="4">
        <f ca="1" xml:space="preserve">  Inventory!AC$50</f>
        <v>35000</v>
      </c>
      <c r="AD12" s="4">
        <f ca="1" xml:space="preserve">  Inventory!AD$50</f>
        <v>40000</v>
      </c>
      <c r="AE12" s="4">
        <f ca="1" xml:space="preserve">  Inventory!AE$50</f>
        <v>45000</v>
      </c>
      <c r="AF12" s="4">
        <f ca="1" xml:space="preserve">  Inventory!AF$50</f>
        <v>50000</v>
      </c>
      <c r="AG12" s="4">
        <f ca="1" xml:space="preserve">  Inventory!AG$50</f>
        <v>55000</v>
      </c>
      <c r="AH12" s="4">
        <f ca="1" xml:space="preserve">  Inventory!AH$50</f>
        <v>55000</v>
      </c>
      <c r="AI12" s="4">
        <f ca="1" xml:space="preserve">  Inventory!AI$50</f>
        <v>60000</v>
      </c>
      <c r="AJ12" s="4">
        <f ca="1" xml:space="preserve">  Inventory!AJ$50</f>
        <v>65000</v>
      </c>
      <c r="AK12" s="4">
        <f ca="1" xml:space="preserve">  Inventory!AK$50</f>
        <v>70000</v>
      </c>
      <c r="AL12" s="4">
        <f ca="1" xml:space="preserve">  Inventory!AL$50</f>
        <v>75000</v>
      </c>
      <c r="AM12" s="4">
        <f ca="1" xml:space="preserve">  Inventory!AM$50</f>
        <v>80000</v>
      </c>
      <c r="AN12" s="4">
        <f ca="1" xml:space="preserve">  Inventory!AN$50</f>
        <v>90000</v>
      </c>
      <c r="AO12" s="4">
        <f ca="1" xml:space="preserve">  Inventory!AO$50</f>
        <v>95000</v>
      </c>
      <c r="AP12" s="4">
        <f ca="1" xml:space="preserve">  Inventory!AP$50</f>
        <v>105000</v>
      </c>
      <c r="AQ12" s="4">
        <f ca="1" xml:space="preserve">  Inventory!AQ$50</f>
        <v>115000</v>
      </c>
      <c r="AR12" s="4">
        <f ca="1" xml:space="preserve">  Inventory!AR$50</f>
        <v>120000</v>
      </c>
      <c r="AS12" s="4">
        <f ca="1" xml:space="preserve">  Inventory!AS$50</f>
        <v>130000</v>
      </c>
      <c r="AT12" s="4">
        <f ca="1" xml:space="preserve">  Inventory!AT$50</f>
        <v>140000</v>
      </c>
      <c r="AU12" s="4">
        <f ca="1" xml:space="preserve">  Inventory!AU$50</f>
        <v>145000</v>
      </c>
      <c r="AV12" s="4">
        <f ca="1" xml:space="preserve">  Inventory!AV$50</f>
        <v>155000</v>
      </c>
      <c r="AW12" s="4">
        <f ca="1" xml:space="preserve">  Inventory!AW$50</f>
        <v>160000</v>
      </c>
      <c r="AX12" s="4">
        <f ca="1" xml:space="preserve">  Inventory!AX$50</f>
        <v>175000</v>
      </c>
      <c r="AY12" s="4">
        <f ca="1" xml:space="preserve">  Inventory!AY$50</f>
        <v>185000</v>
      </c>
      <c r="AZ12" s="4">
        <f ca="1" xml:space="preserve">  Inventory!AZ$50</f>
        <v>190000</v>
      </c>
      <c r="BA12" s="4">
        <f ca="1" xml:space="preserve">  Inventory!BA$50</f>
        <v>205000</v>
      </c>
      <c r="BB12" s="4">
        <f ca="1" xml:space="preserve">  Inventory!BB$50</f>
        <v>215000</v>
      </c>
      <c r="BC12" s="4">
        <f ca="1" xml:space="preserve">  Inventory!BC$50</f>
        <v>230000</v>
      </c>
      <c r="BD12" s="4">
        <f ca="1" xml:space="preserve">  Inventory!BD$50</f>
        <v>240000</v>
      </c>
      <c r="BE12" s="4">
        <f ca="1" xml:space="preserve">  Inventory!BE$50</f>
        <v>255000</v>
      </c>
      <c r="BF12" s="4">
        <f ca="1" xml:space="preserve">  Inventory!BF$50</f>
        <v>270000</v>
      </c>
      <c r="BG12" s="4">
        <f ca="1" xml:space="preserve">  Inventory!BG$50</f>
        <v>285000</v>
      </c>
      <c r="BH12" s="4">
        <f ca="1" xml:space="preserve">  Inventory!BH$50</f>
        <v>305000</v>
      </c>
      <c r="BI12" s="4">
        <f ca="1" xml:space="preserve">  Inventory!BI$50</f>
        <v>320000</v>
      </c>
      <c r="BJ12" s="4">
        <f ca="1" xml:space="preserve">  Inventory!BJ$50</f>
        <v>340000</v>
      </c>
      <c r="BK12" s="4">
        <f ca="1" xml:space="preserve">  Inventory!BK$50</f>
        <v>360000</v>
      </c>
      <c r="BL12" s="4">
        <f ca="1" xml:space="preserve">  Inventory!BL$50</f>
        <v>385000</v>
      </c>
      <c r="BM12" s="4">
        <f ca="1" xml:space="preserve">  Inventory!BM$50</f>
        <v>405000</v>
      </c>
      <c r="BN12" s="4">
        <f ca="1" xml:space="preserve">  Inventory!BN$50</f>
        <v>430000</v>
      </c>
      <c r="BO12" s="4">
        <f ca="1" xml:space="preserve">  Inventory!BO$50</f>
        <v>455000</v>
      </c>
      <c r="BP12" s="4">
        <f ca="1" xml:space="preserve">  Inventory!BP$50</f>
        <v>485000</v>
      </c>
      <c r="BQ12" s="4">
        <f ca="1" xml:space="preserve">  Inventory!BQ$50</f>
        <v>510000</v>
      </c>
    </row>
    <row r="13" spans="1:69" outlineLevel="1">
      <c r="E13" s="47" t="s">
        <v>21</v>
      </c>
      <c r="G13" s="47" t="s">
        <v>258</v>
      </c>
      <c r="H13" s="2">
        <f t="shared" ref="H13:H14" ca="1" si="1" xml:space="preserve"> SUM( J13:BQ13 )</f>
        <v>16175470.56115992</v>
      </c>
      <c r="J13" s="2">
        <f t="shared" ref="J13:BQ13" ca="1" si="2" xml:space="preserve">  ( J11 - ( J12 * $F9 ) ) / $F10</f>
        <v>-7291.666666666667</v>
      </c>
      <c r="K13" s="2">
        <f t="shared" ca="1" si="2"/>
        <v>0</v>
      </c>
      <c r="L13" s="2">
        <f t="shared" ca="1" si="2"/>
        <v>-14583.333333333334</v>
      </c>
      <c r="M13" s="2">
        <f t="shared" ca="1" si="2"/>
        <v>-14583.333333333334</v>
      </c>
      <c r="N13" s="2">
        <f t="shared" ca="1" si="2"/>
        <v>-14583.333333333334</v>
      </c>
      <c r="O13" s="2">
        <f t="shared" ca="1" si="2"/>
        <v>14583.333333333334</v>
      </c>
      <c r="P13" s="2">
        <f t="shared" ca="1" si="2"/>
        <v>0</v>
      </c>
      <c r="Q13" s="2">
        <f t="shared" ca="1" si="2"/>
        <v>14583.333333333334</v>
      </c>
      <c r="R13" s="2">
        <f t="shared" ca="1" si="2"/>
        <v>0</v>
      </c>
      <c r="S13" s="2">
        <f t="shared" ca="1" si="2"/>
        <v>29166.666666666668</v>
      </c>
      <c r="T13" s="2">
        <f t="shared" ca="1" si="2"/>
        <v>29166.666666666668</v>
      </c>
      <c r="U13" s="2">
        <f t="shared" ca="1" si="2"/>
        <v>43750</v>
      </c>
      <c r="V13" s="2">
        <f t="shared" ca="1" si="2"/>
        <v>58333.333333333336</v>
      </c>
      <c r="W13" s="2">
        <f t="shared" ca="1" si="2"/>
        <v>58333.333333333336</v>
      </c>
      <c r="X13" s="2">
        <f t="shared" ca="1" si="2"/>
        <v>72916.666666666672</v>
      </c>
      <c r="Y13" s="2">
        <f t="shared" ca="1" si="2"/>
        <v>65625</v>
      </c>
      <c r="Z13" s="2">
        <f t="shared" ca="1" si="2"/>
        <v>65625</v>
      </c>
      <c r="AA13" s="2">
        <f t="shared" ca="1" si="2"/>
        <v>65625</v>
      </c>
      <c r="AB13" s="2">
        <f t="shared" ca="1" si="2"/>
        <v>58333.333333333336</v>
      </c>
      <c r="AC13" s="2">
        <f t="shared" ca="1" si="2"/>
        <v>58333.333333333336</v>
      </c>
      <c r="AD13" s="2">
        <f t="shared" ca="1" si="2"/>
        <v>65625</v>
      </c>
      <c r="AE13" s="2">
        <f t="shared" ca="1" si="2"/>
        <v>65625</v>
      </c>
      <c r="AF13" s="2">
        <f t="shared" ca="1" si="2"/>
        <v>72916.666666666672</v>
      </c>
      <c r="AG13" s="2">
        <f t="shared" ca="1" si="2"/>
        <v>80208.333333333328</v>
      </c>
      <c r="AH13" s="2">
        <f t="shared" ca="1" si="2"/>
        <v>94791.666666666672</v>
      </c>
      <c r="AI13" s="2">
        <f t="shared" ca="1" si="2"/>
        <v>100625</v>
      </c>
      <c r="AJ13" s="2">
        <f t="shared" ca="1" si="2"/>
        <v>113750</v>
      </c>
      <c r="AK13" s="2">
        <f t="shared" ca="1" si="2"/>
        <v>119583.33333333333</v>
      </c>
      <c r="AL13" s="2">
        <f t="shared" ca="1" si="2"/>
        <v>132708.33333333334</v>
      </c>
      <c r="AM13" s="2">
        <f t="shared" ca="1" si="2"/>
        <v>142916.66666666666</v>
      </c>
      <c r="AN13" s="2">
        <f t="shared" ca="1" si="2"/>
        <v>145833.33333333334</v>
      </c>
      <c r="AO13" s="2">
        <f t="shared" ca="1" si="2"/>
        <v>163333.33333333334</v>
      </c>
      <c r="AP13" s="2">
        <f t="shared" ca="1" si="2"/>
        <v>170625</v>
      </c>
      <c r="AQ13" s="2">
        <f t="shared" ca="1" si="2"/>
        <v>177916.66666666666</v>
      </c>
      <c r="AR13" s="2">
        <f t="shared" ca="1" si="2"/>
        <v>199791.66666666666</v>
      </c>
      <c r="AS13" s="2">
        <f t="shared" ca="1" si="2"/>
        <v>207083.33333333334</v>
      </c>
      <c r="AT13" s="2">
        <f t="shared" ca="1" si="2"/>
        <v>221666.66666666666</v>
      </c>
      <c r="AU13" s="2">
        <f t="shared" ca="1" si="2"/>
        <v>250399.74827029681</v>
      </c>
      <c r="AV13" s="2">
        <f t="shared" ca="1" si="2"/>
        <v>264090.12916804099</v>
      </c>
      <c r="AW13" s="2">
        <f t="shared" ca="1" si="2"/>
        <v>291877.16062114615</v>
      </c>
      <c r="AX13" s="2">
        <f t="shared" ca="1" si="2"/>
        <v>304565.23629899602</v>
      </c>
      <c r="AY13" s="2">
        <f t="shared" ca="1" si="2"/>
        <v>331290.36236233957</v>
      </c>
      <c r="AZ13" s="2">
        <f t="shared" ca="1" si="2"/>
        <v>364728.38847003574</v>
      </c>
      <c r="BA13" s="2">
        <f t="shared" ca="1" si="2"/>
        <v>382969.89936780994</v>
      </c>
      <c r="BB13" s="2">
        <f t="shared" ca="1" si="2"/>
        <v>415145.10003054171</v>
      </c>
      <c r="BC13" s="2">
        <f t="shared" ca="1" si="2"/>
        <v>439340.36064142501</v>
      </c>
      <c r="BD13" s="2">
        <f t="shared" ca="1" si="2"/>
        <v>477389.75433521176</v>
      </c>
      <c r="BE13" s="2">
        <f t="shared" ca="1" si="2"/>
        <v>507374.92060860369</v>
      </c>
      <c r="BF13" s="2">
        <f t="shared" ca="1" si="2"/>
        <v>543833.253941937</v>
      </c>
      <c r="BG13" s="2">
        <f t="shared" ca="1" si="2"/>
        <v>578111.91714919731</v>
      </c>
      <c r="BH13" s="2">
        <f t="shared" ca="1" si="2"/>
        <v>611471.84561135236</v>
      </c>
      <c r="BI13" s="2">
        <f t="shared" ca="1" si="2"/>
        <v>658441.74185089592</v>
      </c>
      <c r="BJ13" s="2">
        <f t="shared" ca="1" si="2"/>
        <v>697088.72653992905</v>
      </c>
      <c r="BK13" s="2">
        <f t="shared" ca="1" si="2"/>
        <v>739309.81199994951</v>
      </c>
      <c r="BL13" s="2">
        <f t="shared" ca="1" si="2"/>
        <v>780373.36421534186</v>
      </c>
      <c r="BM13" s="2">
        <f t="shared" ca="1" si="2"/>
        <v>834793.88601089024</v>
      </c>
      <c r="BN13" s="2">
        <f t="shared" ca="1" si="2"/>
        <v>877998.45400302054</v>
      </c>
      <c r="BO13" s="2">
        <f t="shared" ca="1" si="2"/>
        <v>934409.80855812039</v>
      </c>
      <c r="BP13" s="2">
        <f t="shared" ca="1" si="2"/>
        <v>982071.0959456939</v>
      </c>
      <c r="BQ13" s="2">
        <f t="shared" ca="1" si="2"/>
        <v>1050062.2618258111</v>
      </c>
    </row>
    <row r="14" spans="1:69" outlineLevel="1">
      <c r="A14" s="34"/>
      <c r="B14" s="34"/>
      <c r="C14" s="64"/>
      <c r="D14" s="65"/>
      <c r="E14" s="21" t="str">
        <f xml:space="preserve"> LEFT($E$13, LEN($E$13) - 3 )</f>
        <v xml:space="preserve">Depreciation this period </v>
      </c>
      <c r="F14" s="21"/>
      <c r="G14" s="21" t="str">
        <f xml:space="preserve"> G$13</f>
        <v>GBP</v>
      </c>
      <c r="H14" s="3">
        <f t="shared" ca="1" si="1"/>
        <v>-16175470.56115992</v>
      </c>
      <c r="I14" s="21"/>
      <c r="J14" s="3">
        <f t="shared" ref="J14:BQ14" ca="1" si="3" xml:space="preserve"> -1 * J13</f>
        <v>7291.666666666667</v>
      </c>
      <c r="K14" s="3">
        <f t="shared" ca="1" si="3"/>
        <v>0</v>
      </c>
      <c r="L14" s="3">
        <f t="shared" ca="1" si="3"/>
        <v>14583.333333333334</v>
      </c>
      <c r="M14" s="3">
        <f t="shared" ca="1" si="3"/>
        <v>14583.333333333334</v>
      </c>
      <c r="N14" s="3">
        <f t="shared" ca="1" si="3"/>
        <v>14583.333333333334</v>
      </c>
      <c r="O14" s="3">
        <f t="shared" ca="1" si="3"/>
        <v>-14583.333333333334</v>
      </c>
      <c r="P14" s="3">
        <f t="shared" ca="1" si="3"/>
        <v>0</v>
      </c>
      <c r="Q14" s="3">
        <f t="shared" ca="1" si="3"/>
        <v>-14583.333333333334</v>
      </c>
      <c r="R14" s="3">
        <f t="shared" ca="1" si="3"/>
        <v>0</v>
      </c>
      <c r="S14" s="3">
        <f t="shared" ca="1" si="3"/>
        <v>-29166.666666666668</v>
      </c>
      <c r="T14" s="3">
        <f t="shared" ca="1" si="3"/>
        <v>-29166.666666666668</v>
      </c>
      <c r="U14" s="3">
        <f t="shared" ca="1" si="3"/>
        <v>-43750</v>
      </c>
      <c r="V14" s="3">
        <f t="shared" ca="1" si="3"/>
        <v>-58333.333333333336</v>
      </c>
      <c r="W14" s="3">
        <f t="shared" ca="1" si="3"/>
        <v>-58333.333333333336</v>
      </c>
      <c r="X14" s="3">
        <f t="shared" ca="1" si="3"/>
        <v>-72916.666666666672</v>
      </c>
      <c r="Y14" s="3">
        <f t="shared" ca="1" si="3"/>
        <v>-65625</v>
      </c>
      <c r="Z14" s="3">
        <f t="shared" ca="1" si="3"/>
        <v>-65625</v>
      </c>
      <c r="AA14" s="3">
        <f t="shared" ca="1" si="3"/>
        <v>-65625</v>
      </c>
      <c r="AB14" s="3">
        <f t="shared" ca="1" si="3"/>
        <v>-58333.333333333336</v>
      </c>
      <c r="AC14" s="3">
        <f t="shared" ca="1" si="3"/>
        <v>-58333.333333333336</v>
      </c>
      <c r="AD14" s="3">
        <f t="shared" ca="1" si="3"/>
        <v>-65625</v>
      </c>
      <c r="AE14" s="3">
        <f t="shared" ca="1" si="3"/>
        <v>-65625</v>
      </c>
      <c r="AF14" s="3">
        <f t="shared" ca="1" si="3"/>
        <v>-72916.666666666672</v>
      </c>
      <c r="AG14" s="3">
        <f t="shared" ca="1" si="3"/>
        <v>-80208.333333333328</v>
      </c>
      <c r="AH14" s="3">
        <f t="shared" ca="1" si="3"/>
        <v>-94791.666666666672</v>
      </c>
      <c r="AI14" s="3">
        <f t="shared" ca="1" si="3"/>
        <v>-100625</v>
      </c>
      <c r="AJ14" s="3">
        <f t="shared" ca="1" si="3"/>
        <v>-113750</v>
      </c>
      <c r="AK14" s="3">
        <f t="shared" ca="1" si="3"/>
        <v>-119583.33333333333</v>
      </c>
      <c r="AL14" s="3">
        <f t="shared" ca="1" si="3"/>
        <v>-132708.33333333334</v>
      </c>
      <c r="AM14" s="3">
        <f t="shared" ca="1" si="3"/>
        <v>-142916.66666666666</v>
      </c>
      <c r="AN14" s="3">
        <f t="shared" ca="1" si="3"/>
        <v>-145833.33333333334</v>
      </c>
      <c r="AO14" s="3">
        <f t="shared" ca="1" si="3"/>
        <v>-163333.33333333334</v>
      </c>
      <c r="AP14" s="3">
        <f t="shared" ca="1" si="3"/>
        <v>-170625</v>
      </c>
      <c r="AQ14" s="3">
        <f t="shared" ca="1" si="3"/>
        <v>-177916.66666666666</v>
      </c>
      <c r="AR14" s="3">
        <f t="shared" ca="1" si="3"/>
        <v>-199791.66666666666</v>
      </c>
      <c r="AS14" s="3">
        <f t="shared" ca="1" si="3"/>
        <v>-207083.33333333334</v>
      </c>
      <c r="AT14" s="3">
        <f t="shared" ca="1" si="3"/>
        <v>-221666.66666666666</v>
      </c>
      <c r="AU14" s="3">
        <f t="shared" ca="1" si="3"/>
        <v>-250399.74827029681</v>
      </c>
      <c r="AV14" s="3">
        <f t="shared" ca="1" si="3"/>
        <v>-264090.12916804099</v>
      </c>
      <c r="AW14" s="3">
        <f t="shared" ca="1" si="3"/>
        <v>-291877.16062114615</v>
      </c>
      <c r="AX14" s="3">
        <f t="shared" ca="1" si="3"/>
        <v>-304565.23629899602</v>
      </c>
      <c r="AY14" s="3">
        <f t="shared" ca="1" si="3"/>
        <v>-331290.36236233957</v>
      </c>
      <c r="AZ14" s="3">
        <f t="shared" ca="1" si="3"/>
        <v>-364728.38847003574</v>
      </c>
      <c r="BA14" s="3">
        <f t="shared" ca="1" si="3"/>
        <v>-382969.89936780994</v>
      </c>
      <c r="BB14" s="3">
        <f t="shared" ca="1" si="3"/>
        <v>-415145.10003054171</v>
      </c>
      <c r="BC14" s="3">
        <f t="shared" ca="1" si="3"/>
        <v>-439340.36064142501</v>
      </c>
      <c r="BD14" s="3">
        <f t="shared" ca="1" si="3"/>
        <v>-477389.75433521176</v>
      </c>
      <c r="BE14" s="3">
        <f t="shared" ca="1" si="3"/>
        <v>-507374.92060860369</v>
      </c>
      <c r="BF14" s="3">
        <f t="shared" ca="1" si="3"/>
        <v>-543833.253941937</v>
      </c>
      <c r="BG14" s="3">
        <f t="shared" ca="1" si="3"/>
        <v>-578111.91714919731</v>
      </c>
      <c r="BH14" s="3">
        <f t="shared" ca="1" si="3"/>
        <v>-611471.84561135236</v>
      </c>
      <c r="BI14" s="3">
        <f t="shared" ca="1" si="3"/>
        <v>-658441.74185089592</v>
      </c>
      <c r="BJ14" s="3">
        <f t="shared" ca="1" si="3"/>
        <v>-697088.72653992905</v>
      </c>
      <c r="BK14" s="3">
        <f t="shared" ca="1" si="3"/>
        <v>-739309.81199994951</v>
      </c>
      <c r="BL14" s="3">
        <f t="shared" ca="1" si="3"/>
        <v>-780373.36421534186</v>
      </c>
      <c r="BM14" s="3">
        <f t="shared" ca="1" si="3"/>
        <v>-834793.88601089024</v>
      </c>
      <c r="BN14" s="3">
        <f t="shared" ca="1" si="3"/>
        <v>-877998.45400302054</v>
      </c>
      <c r="BO14" s="3">
        <f t="shared" ca="1" si="3"/>
        <v>-934409.80855812039</v>
      </c>
      <c r="BP14" s="3">
        <f t="shared" ca="1" si="3"/>
        <v>-982071.0959456939</v>
      </c>
      <c r="BQ14" s="3">
        <f t="shared" ca="1" si="3"/>
        <v>-1050062.2618258111</v>
      </c>
    </row>
    <row r="17" spans="1:69">
      <c r="B17" s="25" t="s">
        <v>110</v>
      </c>
    </row>
    <row r="18" spans="1:69" s="82" customFormat="1">
      <c r="A18" s="59"/>
      <c r="B18" s="59"/>
      <c r="C18" s="87"/>
      <c r="D18" s="84"/>
      <c r="E18" s="40" t="str">
        <f xml:space="preserve">  InpC!E$50</f>
        <v>Opening Inventory</v>
      </c>
      <c r="F18" s="40">
        <f xml:space="preserve">  InpC!F$50</f>
        <v>0</v>
      </c>
      <c r="G18" s="40" t="str">
        <f xml:space="preserve">  InpC!G$50</f>
        <v>GBP</v>
      </c>
      <c r="M18" s="80"/>
    </row>
    <row r="19" spans="1:69">
      <c r="A19" s="18"/>
      <c r="B19" s="18"/>
      <c r="C19" s="28"/>
      <c r="D19" s="27"/>
      <c r="E19" s="9" t="str">
        <f xml:space="preserve">  Time!E$28</f>
        <v>Period number</v>
      </c>
      <c r="F19" s="9">
        <f xml:space="preserve">  Time!F$28</f>
        <v>0</v>
      </c>
      <c r="G19" s="9" t="str">
        <f xml:space="preserve">  Time!G$28</f>
        <v>Counter</v>
      </c>
      <c r="H19" s="9">
        <f xml:space="preserve">  Time!H$28</f>
        <v>0</v>
      </c>
      <c r="I19" s="9">
        <f xml:space="preserve">  Time!I$28</f>
        <v>0</v>
      </c>
      <c r="J19" s="9">
        <f xml:space="preserve">  Time!J$28</f>
        <v>1</v>
      </c>
      <c r="K19" s="9">
        <f xml:space="preserve">  Time!K$28</f>
        <v>2</v>
      </c>
      <c r="L19" s="9">
        <f xml:space="preserve">  Time!L$28</f>
        <v>3</v>
      </c>
      <c r="M19" s="9">
        <f xml:space="preserve">  Time!M$28</f>
        <v>4</v>
      </c>
      <c r="N19" s="9">
        <f xml:space="preserve">  Time!N$28</f>
        <v>5</v>
      </c>
      <c r="O19" s="9">
        <f xml:space="preserve">  Time!O$28</f>
        <v>6</v>
      </c>
      <c r="P19" s="9">
        <f xml:space="preserve">  Time!P$28</f>
        <v>7</v>
      </c>
      <c r="Q19" s="9">
        <f xml:space="preserve">  Time!Q$28</f>
        <v>8</v>
      </c>
      <c r="R19" s="9">
        <f xml:space="preserve">  Time!R$28</f>
        <v>9</v>
      </c>
      <c r="S19" s="9">
        <f xml:space="preserve">  Time!S$28</f>
        <v>10</v>
      </c>
      <c r="T19" s="9">
        <f xml:space="preserve">  Time!T$28</f>
        <v>11</v>
      </c>
      <c r="U19" s="9">
        <f xml:space="preserve">  Time!U$28</f>
        <v>12</v>
      </c>
      <c r="V19" s="9">
        <f xml:space="preserve">  Time!V$28</f>
        <v>13</v>
      </c>
      <c r="W19" s="9">
        <f xml:space="preserve">  Time!W$28</f>
        <v>14</v>
      </c>
      <c r="X19" s="9">
        <f xml:space="preserve">  Time!X$28</f>
        <v>15</v>
      </c>
      <c r="Y19" s="9">
        <f xml:space="preserve">  Time!Y$28</f>
        <v>16</v>
      </c>
      <c r="Z19" s="9">
        <f xml:space="preserve">  Time!Z$28</f>
        <v>17</v>
      </c>
      <c r="AA19" s="9">
        <f xml:space="preserve">  Time!AA$28</f>
        <v>18</v>
      </c>
      <c r="AB19" s="9">
        <f xml:space="preserve">  Time!AB$28</f>
        <v>19</v>
      </c>
      <c r="AC19" s="9">
        <f xml:space="preserve">  Time!AC$28</f>
        <v>20</v>
      </c>
      <c r="AD19" s="9">
        <f xml:space="preserve">  Time!AD$28</f>
        <v>21</v>
      </c>
      <c r="AE19" s="9">
        <f xml:space="preserve">  Time!AE$28</f>
        <v>22</v>
      </c>
      <c r="AF19" s="9">
        <f xml:space="preserve">  Time!AF$28</f>
        <v>23</v>
      </c>
      <c r="AG19" s="9">
        <f xml:space="preserve">  Time!AG$28</f>
        <v>24</v>
      </c>
      <c r="AH19" s="9">
        <f xml:space="preserve">  Time!AH$28</f>
        <v>25</v>
      </c>
      <c r="AI19" s="9">
        <f xml:space="preserve">  Time!AI$28</f>
        <v>26</v>
      </c>
      <c r="AJ19" s="9">
        <f xml:space="preserve">  Time!AJ$28</f>
        <v>27</v>
      </c>
      <c r="AK19" s="9">
        <f xml:space="preserve">  Time!AK$28</f>
        <v>28</v>
      </c>
      <c r="AL19" s="9">
        <f xml:space="preserve">  Time!AL$28</f>
        <v>29</v>
      </c>
      <c r="AM19" s="9">
        <f xml:space="preserve">  Time!AM$28</f>
        <v>30</v>
      </c>
      <c r="AN19" s="9">
        <f xml:space="preserve">  Time!AN$28</f>
        <v>31</v>
      </c>
      <c r="AO19" s="9">
        <f xml:space="preserve">  Time!AO$28</f>
        <v>32</v>
      </c>
      <c r="AP19" s="9">
        <f xml:space="preserve">  Time!AP$28</f>
        <v>33</v>
      </c>
      <c r="AQ19" s="9">
        <f xml:space="preserve">  Time!AQ$28</f>
        <v>34</v>
      </c>
      <c r="AR19" s="9">
        <f xml:space="preserve">  Time!AR$28</f>
        <v>35</v>
      </c>
      <c r="AS19" s="9">
        <f xml:space="preserve">  Time!AS$28</f>
        <v>36</v>
      </c>
      <c r="AT19" s="9">
        <f xml:space="preserve">  Time!AT$28</f>
        <v>37</v>
      </c>
      <c r="AU19" s="9">
        <f xml:space="preserve">  Time!AU$28</f>
        <v>38</v>
      </c>
      <c r="AV19" s="9">
        <f xml:space="preserve">  Time!AV$28</f>
        <v>39</v>
      </c>
      <c r="AW19" s="9">
        <f xml:space="preserve">  Time!AW$28</f>
        <v>40</v>
      </c>
      <c r="AX19" s="9">
        <f xml:space="preserve">  Time!AX$28</f>
        <v>41</v>
      </c>
      <c r="AY19" s="9">
        <f xml:space="preserve">  Time!AY$28</f>
        <v>42</v>
      </c>
      <c r="AZ19" s="9">
        <f xml:space="preserve">  Time!AZ$28</f>
        <v>43</v>
      </c>
      <c r="BA19" s="9">
        <f xml:space="preserve">  Time!BA$28</f>
        <v>44</v>
      </c>
      <c r="BB19" s="9">
        <f xml:space="preserve">  Time!BB$28</f>
        <v>45</v>
      </c>
      <c r="BC19" s="9">
        <f xml:space="preserve">  Time!BC$28</f>
        <v>46</v>
      </c>
      <c r="BD19" s="9">
        <f xml:space="preserve">  Time!BD$28</f>
        <v>47</v>
      </c>
      <c r="BE19" s="9">
        <f xml:space="preserve">  Time!BE$28</f>
        <v>48</v>
      </c>
      <c r="BF19" s="9">
        <f xml:space="preserve">  Time!BF$28</f>
        <v>49</v>
      </c>
      <c r="BG19" s="9">
        <f xml:space="preserve">  Time!BG$28</f>
        <v>50</v>
      </c>
      <c r="BH19" s="9">
        <f xml:space="preserve">  Time!BH$28</f>
        <v>51</v>
      </c>
      <c r="BI19" s="9">
        <f xml:space="preserve">  Time!BI$28</f>
        <v>52</v>
      </c>
      <c r="BJ19" s="9">
        <f xml:space="preserve">  Time!BJ$28</f>
        <v>53</v>
      </c>
      <c r="BK19" s="9">
        <f xml:space="preserve">  Time!BK$28</f>
        <v>54</v>
      </c>
      <c r="BL19" s="9">
        <f xml:space="preserve">  Time!BL$28</f>
        <v>55</v>
      </c>
      <c r="BM19" s="9">
        <f xml:space="preserve">  Time!BM$28</f>
        <v>56</v>
      </c>
      <c r="BN19" s="9">
        <f xml:space="preserve">  Time!BN$28</f>
        <v>57</v>
      </c>
      <c r="BO19" s="9">
        <f xml:space="preserve">  Time!BO$28</f>
        <v>58</v>
      </c>
      <c r="BP19" s="9">
        <f xml:space="preserve">  Time!BP$28</f>
        <v>59</v>
      </c>
      <c r="BQ19" s="9">
        <f xml:space="preserve">  Time!BQ$28</f>
        <v>60</v>
      </c>
    </row>
    <row r="20" spans="1:69">
      <c r="E20" s="47" t="s">
        <v>202</v>
      </c>
      <c r="G20" s="47" t="s">
        <v>258</v>
      </c>
      <c r="J20" s="2">
        <f t="shared" ref="J20:BQ20" si="4" xml:space="preserve">  I23</f>
        <v>0</v>
      </c>
      <c r="K20" s="2">
        <f t="shared" ca="1" si="4"/>
        <v>0</v>
      </c>
      <c r="L20" s="2">
        <f t="shared" ca="1" si="4"/>
        <v>0</v>
      </c>
      <c r="M20" s="2">
        <f t="shared" ca="1" si="4"/>
        <v>350000</v>
      </c>
      <c r="N20" s="2">
        <f t="shared" ca="1" si="4"/>
        <v>700000</v>
      </c>
      <c r="O20" s="2">
        <f t="shared" ca="1" si="4"/>
        <v>1050000</v>
      </c>
      <c r="P20" s="2">
        <f t="shared" ca="1" si="4"/>
        <v>1050000</v>
      </c>
      <c r="Q20" s="2">
        <f t="shared" ca="1" si="4"/>
        <v>1400000</v>
      </c>
      <c r="R20" s="2">
        <f t="shared" ca="1" si="4"/>
        <v>1400000</v>
      </c>
      <c r="S20" s="2">
        <f t="shared" ca="1" si="4"/>
        <v>1750000</v>
      </c>
      <c r="T20" s="2">
        <f t="shared" ca="1" si="4"/>
        <v>1750000</v>
      </c>
      <c r="U20" s="2">
        <f t="shared" ca="1" si="4"/>
        <v>1750000</v>
      </c>
      <c r="V20" s="2">
        <f t="shared" ca="1" si="4"/>
        <v>1750000</v>
      </c>
      <c r="W20" s="2">
        <f t="shared" ca="1" si="4"/>
        <v>1750000</v>
      </c>
      <c r="X20" s="2">
        <f t="shared" ca="1" si="4"/>
        <v>1750000</v>
      </c>
      <c r="Y20" s="2">
        <f t="shared" ca="1" si="4"/>
        <v>1750000</v>
      </c>
      <c r="Z20" s="2">
        <f t="shared" ca="1" si="4"/>
        <v>1925000</v>
      </c>
      <c r="AA20" s="2">
        <f t="shared" ca="1" si="4"/>
        <v>2100000</v>
      </c>
      <c r="AB20" s="2">
        <f t="shared" ca="1" si="4"/>
        <v>2275000</v>
      </c>
      <c r="AC20" s="2">
        <f t="shared" ca="1" si="4"/>
        <v>2625000</v>
      </c>
      <c r="AD20" s="2">
        <f t="shared" ca="1" si="4"/>
        <v>2975000</v>
      </c>
      <c r="AE20" s="2">
        <f t="shared" ca="1" si="4"/>
        <v>3150000</v>
      </c>
      <c r="AF20" s="2">
        <f t="shared" ca="1" si="4"/>
        <v>3500000</v>
      </c>
      <c r="AG20" s="2">
        <f t="shared" ca="1" si="4"/>
        <v>3850000</v>
      </c>
      <c r="AH20" s="2">
        <f t="shared" ca="1" si="4"/>
        <v>4200000</v>
      </c>
      <c r="AI20" s="2">
        <f t="shared" ca="1" si="4"/>
        <v>4515000</v>
      </c>
      <c r="AJ20" s="2">
        <f t="shared" ca="1" si="4"/>
        <v>5005000</v>
      </c>
      <c r="AK20" s="2">
        <f t="shared" ca="1" si="4"/>
        <v>5320000</v>
      </c>
      <c r="AL20" s="2">
        <f t="shared" ca="1" si="4"/>
        <v>5810000</v>
      </c>
      <c r="AM20" s="2">
        <f t="shared" ca="1" si="4"/>
        <v>6230000</v>
      </c>
      <c r="AN20" s="2">
        <f t="shared" ca="1" si="4"/>
        <v>6650000</v>
      </c>
      <c r="AO20" s="2">
        <f t="shared" ca="1" si="4"/>
        <v>7245000</v>
      </c>
      <c r="AP20" s="2">
        <f t="shared" ca="1" si="4"/>
        <v>7770000</v>
      </c>
      <c r="AQ20" s="2">
        <f t="shared" ca="1" si="4"/>
        <v>8295000</v>
      </c>
      <c r="AR20" s="2">
        <f t="shared" ca="1" si="4"/>
        <v>8995000</v>
      </c>
      <c r="AS20" s="2">
        <f t="shared" ca="1" si="4"/>
        <v>9520000</v>
      </c>
      <c r="AT20" s="2">
        <f t="shared" ca="1" si="4"/>
        <v>10220000</v>
      </c>
      <c r="AU20" s="2">
        <f t="shared" ca="1" si="4"/>
        <v>11084593.958487123</v>
      </c>
      <c r="AV20" s="2">
        <f t="shared" ca="1" si="4"/>
        <v>11763163.100032983</v>
      </c>
      <c r="AW20" s="2">
        <f t="shared" ca="1" si="4"/>
        <v>12605051.854907507</v>
      </c>
      <c r="AX20" s="2">
        <f t="shared" ca="1" si="4"/>
        <v>13434565.671175905</v>
      </c>
      <c r="AY20" s="2">
        <f t="shared" ca="1" si="4"/>
        <v>14425968.696696149</v>
      </c>
      <c r="AZ20" s="2">
        <f t="shared" ca="1" si="4"/>
        <v>15403481.323280858</v>
      </c>
      <c r="BA20" s="2">
        <f t="shared" ca="1" si="4"/>
        <v>16366277.584827438</v>
      </c>
      <c r="BB20" s="2">
        <f t="shared" ca="1" si="4"/>
        <v>17488482.400733002</v>
      </c>
      <c r="BC20" s="2">
        <f t="shared" ca="1" si="4"/>
        <v>18594168.6553942</v>
      </c>
      <c r="BD20" s="2">
        <f t="shared" ca="1" si="4"/>
        <v>19857354.104045082</v>
      </c>
      <c r="BE20" s="2">
        <f t="shared" ca="1" si="4"/>
        <v>21101998.094606489</v>
      </c>
      <c r="BF20" s="2">
        <f t="shared" ca="1" si="4"/>
        <v>22501998.094606489</v>
      </c>
      <c r="BG20" s="2">
        <f t="shared" ca="1" si="4"/>
        <v>23849686.011580735</v>
      </c>
      <c r="BH20" s="2">
        <f t="shared" ca="1" si="4"/>
        <v>25350324.294672456</v>
      </c>
      <c r="BI20" s="2">
        <f t="shared" ca="1" si="4"/>
        <v>27002601.804421503</v>
      </c>
      <c r="BJ20" s="2">
        <f t="shared" ca="1" si="4"/>
        <v>28630129.436958298</v>
      </c>
      <c r="BK20" s="2">
        <f t="shared" ca="1" si="4"/>
        <v>30343435.487998787</v>
      </c>
      <c r="BL20" s="2">
        <f t="shared" ca="1" si="4"/>
        <v>32203960.741168205</v>
      </c>
      <c r="BM20" s="2">
        <f t="shared" ca="1" si="4"/>
        <v>34210053.264261365</v>
      </c>
      <c r="BN20" s="2">
        <f t="shared" ca="1" si="4"/>
        <v>36121962.896072492</v>
      </c>
      <c r="BO20" s="2">
        <f t="shared" ca="1" si="4"/>
        <v>38350835.405394889</v>
      </c>
      <c r="BP20" s="2">
        <f t="shared" ca="1" si="4"/>
        <v>40544706.302696653</v>
      </c>
      <c r="BQ20" s="2">
        <f t="shared" ca="1" si="4"/>
        <v>43051494.283819467</v>
      </c>
    </row>
    <row r="21" spans="1:69">
      <c r="A21" s="18"/>
      <c r="B21" s="18"/>
      <c r="C21" s="28"/>
      <c r="D21" s="27" t="s">
        <v>219</v>
      </c>
      <c r="E21" s="4" t="str">
        <f xml:space="preserve">  Inventory!E$33</f>
        <v>Units ordered</v>
      </c>
      <c r="F21" s="4">
        <f xml:space="preserve">  Inventory!F$33</f>
        <v>0</v>
      </c>
      <c r="G21" s="4" t="str">
        <f xml:space="preserve">  Inventory!G$33</f>
        <v>Units</v>
      </c>
      <c r="H21" s="4">
        <f ca="1" xml:space="preserve">  Inventory!H$33</f>
        <v>1640000</v>
      </c>
      <c r="I21" s="4">
        <f xml:space="preserve">  Inventory!I$33</f>
        <v>0</v>
      </c>
      <c r="J21" s="4">
        <f xml:space="preserve">  Inventory!J$33</f>
        <v>0</v>
      </c>
      <c r="K21" s="4">
        <f xml:space="preserve">  Inventory!K$33</f>
        <v>0</v>
      </c>
      <c r="L21" s="4">
        <f xml:space="preserve">  Inventory!L$33</f>
        <v>10000</v>
      </c>
      <c r="M21" s="4">
        <f xml:space="preserve">  Inventory!M$33</f>
        <v>10000</v>
      </c>
      <c r="N21" s="4">
        <f xml:space="preserve">  Inventory!N$33</f>
        <v>10000</v>
      </c>
      <c r="O21" s="4">
        <f xml:space="preserve">  Inventory!O$33</f>
        <v>0</v>
      </c>
      <c r="P21" s="4">
        <f xml:space="preserve">  Inventory!P$33</f>
        <v>10000</v>
      </c>
      <c r="Q21" s="4">
        <f xml:space="preserve">  Inventory!Q$33</f>
        <v>0</v>
      </c>
      <c r="R21" s="4">
        <f xml:space="preserve">  Inventory!R$33</f>
        <v>10000</v>
      </c>
      <c r="S21" s="4">
        <f xml:space="preserve">  Inventory!S$33</f>
        <v>0</v>
      </c>
      <c r="T21" s="4">
        <f xml:space="preserve">  Inventory!T$33</f>
        <v>0</v>
      </c>
      <c r="U21" s="4">
        <f xml:space="preserve">  Inventory!U$33</f>
        <v>0</v>
      </c>
      <c r="V21" s="4">
        <f ca="1" xml:space="preserve">  Inventory!V$33</f>
        <v>0</v>
      </c>
      <c r="W21" s="4">
        <f ca="1" xml:space="preserve">  Inventory!W$33</f>
        <v>0</v>
      </c>
      <c r="X21" s="4">
        <f ca="1" xml:space="preserve">  Inventory!X$33</f>
        <v>0</v>
      </c>
      <c r="Y21" s="4">
        <f ca="1" xml:space="preserve">  Inventory!Y$33</f>
        <v>5000</v>
      </c>
      <c r="Z21" s="4">
        <f ca="1" xml:space="preserve">  Inventory!Z$33</f>
        <v>5000</v>
      </c>
      <c r="AA21" s="4">
        <f ca="1" xml:space="preserve">  Inventory!AA$33</f>
        <v>5000</v>
      </c>
      <c r="AB21" s="4">
        <f ca="1" xml:space="preserve">  Inventory!AB$33</f>
        <v>10000</v>
      </c>
      <c r="AC21" s="4">
        <f ca="1" xml:space="preserve">  Inventory!AC$33</f>
        <v>10000</v>
      </c>
      <c r="AD21" s="4">
        <f ca="1" xml:space="preserve">  Inventory!AD$33</f>
        <v>5000</v>
      </c>
      <c r="AE21" s="4">
        <f ca="1" xml:space="preserve">  Inventory!AE$33</f>
        <v>10000</v>
      </c>
      <c r="AF21" s="4">
        <f ca="1" xml:space="preserve">  Inventory!AF$33</f>
        <v>10000</v>
      </c>
      <c r="AG21" s="4">
        <f ca="1" xml:space="preserve">  Inventory!AG$33</f>
        <v>10000</v>
      </c>
      <c r="AH21" s="4">
        <f ca="1" xml:space="preserve">  Inventory!AH$33</f>
        <v>10000</v>
      </c>
      <c r="AI21" s="4">
        <f ca="1" xml:space="preserve">  Inventory!AI$33</f>
        <v>15000</v>
      </c>
      <c r="AJ21" s="4">
        <f ca="1" xml:space="preserve">  Inventory!AJ$33</f>
        <v>10000</v>
      </c>
      <c r="AK21" s="4">
        <f ca="1" xml:space="preserve">  Inventory!AK$33</f>
        <v>15000</v>
      </c>
      <c r="AL21" s="4">
        <f ca="1" xml:space="preserve">  Inventory!AL$33</f>
        <v>15000</v>
      </c>
      <c r="AM21" s="4">
        <f ca="1" xml:space="preserve">  Inventory!AM$33</f>
        <v>15000</v>
      </c>
      <c r="AN21" s="4">
        <f ca="1" xml:space="preserve">  Inventory!AN$33</f>
        <v>20000</v>
      </c>
      <c r="AO21" s="4">
        <f ca="1" xml:space="preserve">  Inventory!AO$33</f>
        <v>20000</v>
      </c>
      <c r="AP21" s="4">
        <f ca="1" xml:space="preserve">  Inventory!AP$33</f>
        <v>20000</v>
      </c>
      <c r="AQ21" s="4">
        <f ca="1" xml:space="preserve">  Inventory!AQ$33</f>
        <v>25000</v>
      </c>
      <c r="AR21" s="4">
        <f ca="1" xml:space="preserve">  Inventory!AR$33</f>
        <v>20000</v>
      </c>
      <c r="AS21" s="4">
        <f ca="1" xml:space="preserve">  Inventory!AS$33</f>
        <v>25000</v>
      </c>
      <c r="AT21" s="4">
        <f ca="1" xml:space="preserve">  Inventory!AT$33</f>
        <v>30000</v>
      </c>
      <c r="AU21" s="4">
        <f ca="1" xml:space="preserve">  Inventory!AU$33</f>
        <v>25000</v>
      </c>
      <c r="AV21" s="4">
        <f ca="1" xml:space="preserve">  Inventory!AV$33</f>
        <v>30000</v>
      </c>
      <c r="AW21" s="4">
        <f ca="1" xml:space="preserve">  Inventory!AW$33</f>
        <v>30000</v>
      </c>
      <c r="AX21" s="4">
        <f ca="1" xml:space="preserve">  Inventory!AX$33</f>
        <v>35000</v>
      </c>
      <c r="AY21" s="4">
        <f ca="1" xml:space="preserve">  Inventory!AY$33</f>
        <v>35000</v>
      </c>
      <c r="AZ21" s="4">
        <f ca="1" xml:space="preserve">  Inventory!AZ$33</f>
        <v>35000</v>
      </c>
      <c r="BA21" s="4">
        <f ca="1" xml:space="preserve">  Inventory!BA$33</f>
        <v>40000</v>
      </c>
      <c r="BB21" s="4">
        <f ca="1" xml:space="preserve">  Inventory!BB$33</f>
        <v>40000</v>
      </c>
      <c r="BC21" s="4">
        <f ca="1" xml:space="preserve">  Inventory!BC$33</f>
        <v>45000</v>
      </c>
      <c r="BD21" s="4">
        <f ca="1" xml:space="preserve">  Inventory!BD$33</f>
        <v>45000</v>
      </c>
      <c r="BE21" s="4">
        <f ca="1" xml:space="preserve">  Inventory!BE$33</f>
        <v>50000</v>
      </c>
      <c r="BF21" s="4">
        <f ca="1" xml:space="preserve">  Inventory!BF$33</f>
        <v>50000</v>
      </c>
      <c r="BG21" s="4">
        <f ca="1" xml:space="preserve">  Inventory!BG$33</f>
        <v>55000</v>
      </c>
      <c r="BH21" s="4">
        <f ca="1" xml:space="preserve">  Inventory!BH$33</f>
        <v>60000</v>
      </c>
      <c r="BI21" s="4">
        <f ca="1" xml:space="preserve">  Inventory!BI$33</f>
        <v>60000</v>
      </c>
      <c r="BJ21" s="4">
        <f ca="1" xml:space="preserve">  Inventory!BJ$33</f>
        <v>65000</v>
      </c>
      <c r="BK21" s="4">
        <f ca="1" xml:space="preserve">  Inventory!BK$33</f>
        <v>70000</v>
      </c>
      <c r="BL21" s="4">
        <f ca="1" xml:space="preserve">  Inventory!BL$33</f>
        <v>75000</v>
      </c>
      <c r="BM21" s="4">
        <f ca="1" xml:space="preserve">  Inventory!BM$33</f>
        <v>75000</v>
      </c>
      <c r="BN21" s="4">
        <f ca="1" xml:space="preserve">  Inventory!BN$33</f>
        <v>85000</v>
      </c>
      <c r="BO21" s="4">
        <f ca="1" xml:space="preserve">  Inventory!BO$33</f>
        <v>85000</v>
      </c>
      <c r="BP21" s="4">
        <f ca="1" xml:space="preserve">  Inventory!BP$33</f>
        <v>95000</v>
      </c>
      <c r="BQ21" s="4">
        <f ca="1" xml:space="preserve">  Inventory!BQ$33</f>
        <v>95000</v>
      </c>
    </row>
    <row r="22" spans="1:69">
      <c r="A22" s="18"/>
      <c r="B22" s="18"/>
      <c r="C22" s="28"/>
      <c r="D22" s="27" t="s">
        <v>300</v>
      </c>
      <c r="E22" s="4" t="str">
        <f xml:space="preserve">  Inventory!E$77</f>
        <v>Units retired</v>
      </c>
      <c r="F22" s="4">
        <f xml:space="preserve">  Inventory!F$77</f>
        <v>0</v>
      </c>
      <c r="G22" s="4" t="str">
        <f xml:space="preserve">  Inventory!G$77</f>
        <v>Units</v>
      </c>
      <c r="H22" s="4">
        <f ca="1" xml:space="preserve">  Inventory!H$77</f>
        <v>339457.30617658654</v>
      </c>
      <c r="I22" s="4">
        <f xml:space="preserve">  Inventory!I$77</f>
        <v>0</v>
      </c>
      <c r="J22" s="4">
        <f ca="1" xml:space="preserve">  Inventory!J$77</f>
        <v>0</v>
      </c>
      <c r="K22" s="4">
        <f ca="1" xml:space="preserve">  Inventory!K$77</f>
        <v>0</v>
      </c>
      <c r="L22" s="4">
        <f ca="1" xml:space="preserve">  Inventory!L$77</f>
        <v>0</v>
      </c>
      <c r="M22" s="4">
        <f ca="1" xml:space="preserve">  Inventory!M$77</f>
        <v>0</v>
      </c>
      <c r="N22" s="4">
        <f ca="1" xml:space="preserve">  Inventory!N$77</f>
        <v>0</v>
      </c>
      <c r="O22" s="4">
        <f ca="1" xml:space="preserve">  Inventory!O$77</f>
        <v>0</v>
      </c>
      <c r="P22" s="4">
        <f ca="1" xml:space="preserve">  Inventory!P$77</f>
        <v>0</v>
      </c>
      <c r="Q22" s="4">
        <f ca="1" xml:space="preserve">  Inventory!Q$77</f>
        <v>0</v>
      </c>
      <c r="R22" s="4">
        <f ca="1" xml:space="preserve">  Inventory!R$77</f>
        <v>0</v>
      </c>
      <c r="S22" s="4">
        <f ca="1" xml:space="preserve">  Inventory!S$77</f>
        <v>0</v>
      </c>
      <c r="T22" s="4">
        <f ca="1" xml:space="preserve">  Inventory!T$77</f>
        <v>0</v>
      </c>
      <c r="U22" s="4">
        <f ca="1" xml:space="preserve">  Inventory!U$77</f>
        <v>0</v>
      </c>
      <c r="V22" s="4">
        <f ca="1" xml:space="preserve">  Inventory!V$77</f>
        <v>0</v>
      </c>
      <c r="W22" s="4">
        <f ca="1" xml:space="preserve">  Inventory!W$77</f>
        <v>0</v>
      </c>
      <c r="X22" s="4">
        <f ca="1" xml:space="preserve">  Inventory!X$77</f>
        <v>0</v>
      </c>
      <c r="Y22" s="4">
        <f ca="1" xml:space="preserve">  Inventory!Y$77</f>
        <v>0</v>
      </c>
      <c r="Z22" s="4">
        <f ca="1" xml:space="preserve">  Inventory!Z$77</f>
        <v>0</v>
      </c>
      <c r="AA22" s="4">
        <f ca="1" xml:space="preserve">  Inventory!AA$77</f>
        <v>0</v>
      </c>
      <c r="AB22" s="4">
        <f ca="1" xml:space="preserve">  Inventory!AB$77</f>
        <v>0</v>
      </c>
      <c r="AC22" s="4">
        <f ca="1" xml:space="preserve">  Inventory!AC$77</f>
        <v>0</v>
      </c>
      <c r="AD22" s="4">
        <f ca="1" xml:space="preserve">  Inventory!AD$77</f>
        <v>0</v>
      </c>
      <c r="AE22" s="4">
        <f ca="1" xml:space="preserve">  Inventory!AE$77</f>
        <v>0</v>
      </c>
      <c r="AF22" s="4">
        <f ca="1" xml:space="preserve">  Inventory!AF$77</f>
        <v>0</v>
      </c>
      <c r="AG22" s="4">
        <f ca="1" xml:space="preserve">  Inventory!AG$77</f>
        <v>0</v>
      </c>
      <c r="AH22" s="4">
        <f ca="1" xml:space="preserve">  Inventory!AH$77</f>
        <v>1000</v>
      </c>
      <c r="AI22" s="4">
        <f ca="1" xml:space="preserve">  Inventory!AI$77</f>
        <v>1000</v>
      </c>
      <c r="AJ22" s="4">
        <f ca="1" xml:space="preserve">  Inventory!AJ$77</f>
        <v>1000</v>
      </c>
      <c r="AK22" s="4">
        <f ca="1" xml:space="preserve">  Inventory!AK$77</f>
        <v>1000</v>
      </c>
      <c r="AL22" s="4">
        <f ca="1" xml:space="preserve">  Inventory!AL$77</f>
        <v>3000</v>
      </c>
      <c r="AM22" s="4">
        <f ca="1" xml:space="preserve">  Inventory!AM$77</f>
        <v>3000</v>
      </c>
      <c r="AN22" s="4">
        <f ca="1" xml:space="preserve">  Inventory!AN$77</f>
        <v>3000</v>
      </c>
      <c r="AO22" s="4">
        <f ca="1" xml:space="preserve">  Inventory!AO$77</f>
        <v>5000</v>
      </c>
      <c r="AP22" s="4">
        <f ca="1" xml:space="preserve">  Inventory!AP$77</f>
        <v>5000</v>
      </c>
      <c r="AQ22" s="4">
        <f ca="1" xml:space="preserve">  Inventory!AQ$77</f>
        <v>5000</v>
      </c>
      <c r="AR22" s="4">
        <f ca="1" xml:space="preserve">  Inventory!AR$77</f>
        <v>5000</v>
      </c>
      <c r="AS22" s="4">
        <f ca="1" xml:space="preserve">  Inventory!AS$77</f>
        <v>5000</v>
      </c>
      <c r="AT22" s="4">
        <f ca="1" xml:space="preserve">  Inventory!AT$77</f>
        <v>5297.3154717964762</v>
      </c>
      <c r="AU22" s="4">
        <f ca="1" xml:space="preserve">  Inventory!AU$77</f>
        <v>5612.3102415468647</v>
      </c>
      <c r="AV22" s="4">
        <f ca="1" xml:space="preserve">  Inventory!AV$77</f>
        <v>5946.035575013605</v>
      </c>
      <c r="AW22" s="4">
        <f ca="1" xml:space="preserve">  Inventory!AW$77</f>
        <v>6299.6052494743653</v>
      </c>
      <c r="AX22" s="4">
        <f ca="1" xml:space="preserve">  Inventory!AX$77</f>
        <v>6674.1992708501712</v>
      </c>
      <c r="AY22" s="4">
        <f ca="1" xml:space="preserve">  Inventory!AY$77</f>
        <v>7071.0678118654751</v>
      </c>
      <c r="AZ22" s="4">
        <f ca="1" xml:space="preserve">  Inventory!AZ$77</f>
        <v>7491.5353843834073</v>
      </c>
      <c r="BA22" s="4">
        <f ca="1" xml:space="preserve">  Inventory!BA$77</f>
        <v>7937.0052598409975</v>
      </c>
      <c r="BB22" s="4">
        <f ca="1" xml:space="preserve">  Inventory!BB$77</f>
        <v>8408.9641525371462</v>
      </c>
      <c r="BC22" s="4">
        <f ca="1" xml:space="preserve">  Inventory!BC$77</f>
        <v>8908.9871814033941</v>
      </c>
      <c r="BD22" s="4">
        <f ca="1" xml:space="preserve">  Inventory!BD$77</f>
        <v>9438.7431268169366</v>
      </c>
      <c r="BE22" s="4">
        <f ca="1" xml:space="preserve">  Inventory!BE$77</f>
        <v>10000.000000000002</v>
      </c>
      <c r="BF22" s="4">
        <f ca="1" xml:space="preserve">  Inventory!BF$77</f>
        <v>11494.630943592954</v>
      </c>
      <c r="BG22" s="4">
        <f ca="1" xml:space="preserve">  Inventory!BG$77</f>
        <v>12124.620483093731</v>
      </c>
      <c r="BH22" s="4">
        <f ca="1" xml:space="preserve">  Inventory!BH$77</f>
        <v>12792.071150027214</v>
      </c>
      <c r="BI22" s="4">
        <f ca="1" xml:space="preserve">  Inventory!BI$77</f>
        <v>13499.210498948736</v>
      </c>
      <c r="BJ22" s="4">
        <f ca="1" xml:space="preserve">  Inventory!BJ$77</f>
        <v>16048.39854170035</v>
      </c>
      <c r="BK22" s="4">
        <f ca="1" xml:space="preserve">  Inventory!BK$77</f>
        <v>16842.135623730959</v>
      </c>
      <c r="BL22" s="4">
        <f ca="1" xml:space="preserve">  Inventory!BL$77</f>
        <v>17683.070768766825</v>
      </c>
      <c r="BM22" s="4">
        <f ca="1" xml:space="preserve">  Inventory!BM$77</f>
        <v>20374.010519682004</v>
      </c>
      <c r="BN22" s="4">
        <f ca="1" xml:space="preserve">  Inventory!BN$77</f>
        <v>21317.9283050743</v>
      </c>
      <c r="BO22" s="4">
        <f ca="1" xml:space="preserve">  Inventory!BO$77</f>
        <v>22317.974362806795</v>
      </c>
      <c r="BP22" s="4">
        <f ca="1" xml:space="preserve">  Inventory!BP$77</f>
        <v>23377.486253633881</v>
      </c>
      <c r="BQ22" s="4">
        <f ca="1" xml:space="preserve">  Inventory!BQ$77</f>
        <v>24500.000000000011</v>
      </c>
    </row>
    <row r="23" spans="1:69" s="81" customFormat="1">
      <c r="A23" s="63"/>
      <c r="B23" s="63"/>
      <c r="C23" s="88"/>
      <c r="D23" s="90"/>
      <c r="E23" s="33" t="s">
        <v>110</v>
      </c>
      <c r="F23" s="33"/>
      <c r="G23" s="33" t="s">
        <v>258</v>
      </c>
      <c r="H23" s="33"/>
      <c r="I23" s="11">
        <f xml:space="preserve">  IF( I19 = 0, $F18, I20 + ( ( I21 - I22 ) * InpC!$F34 ) )</f>
        <v>0</v>
      </c>
      <c r="J23" s="11">
        <f ca="1" xml:space="preserve">  IF( J19 = 0, $F18, J20 + ( ( J21 - J22 ) * InpC!$F34 ) )</f>
        <v>0</v>
      </c>
      <c r="K23" s="11">
        <f ca="1" xml:space="preserve">  IF( K19 = 0, $F18, K20 + ( ( K21 - K22 ) * InpC!$F34 ) )</f>
        <v>0</v>
      </c>
      <c r="L23" s="11">
        <f ca="1" xml:space="preserve">  IF( L19 = 0, $F18, L20 + ( ( L21 - L22 ) * InpC!$F34 ) )</f>
        <v>350000</v>
      </c>
      <c r="M23" s="11">
        <f ca="1" xml:space="preserve">  IF( M19 = 0, $F18, M20 + ( ( M21 - M22 ) * InpC!$F34 ) )</f>
        <v>700000</v>
      </c>
      <c r="N23" s="11">
        <f ca="1" xml:space="preserve">  IF( N19 = 0, $F18, N20 + ( ( N21 - N22 ) * InpC!$F34 ) )</f>
        <v>1050000</v>
      </c>
      <c r="O23" s="11">
        <f ca="1" xml:space="preserve">  IF( O19 = 0, $F18, O20 + ( ( O21 - O22 ) * InpC!$F34 ) )</f>
        <v>1050000</v>
      </c>
      <c r="P23" s="11">
        <f ca="1" xml:space="preserve">  IF( P19 = 0, $F18, P20 + ( ( P21 - P22 ) * InpC!$F34 ) )</f>
        <v>1400000</v>
      </c>
      <c r="Q23" s="11">
        <f ca="1" xml:space="preserve">  IF( Q19 = 0, $F18, Q20 + ( ( Q21 - Q22 ) * InpC!$F34 ) )</f>
        <v>1400000</v>
      </c>
      <c r="R23" s="11">
        <f ca="1" xml:space="preserve">  IF( R19 = 0, $F18, R20 + ( ( R21 - R22 ) * InpC!$F34 ) )</f>
        <v>1750000</v>
      </c>
      <c r="S23" s="11">
        <f ca="1" xml:space="preserve">  IF( S19 = 0, $F18, S20 + ( ( S21 - S22 ) * InpC!$F34 ) )</f>
        <v>1750000</v>
      </c>
      <c r="T23" s="11">
        <f ca="1" xml:space="preserve">  IF( T19 = 0, $F18, T20 + ( ( T21 - T22 ) * InpC!$F34 ) )</f>
        <v>1750000</v>
      </c>
      <c r="U23" s="11">
        <f ca="1" xml:space="preserve">  IF( U19 = 0, $F18, U20 + ( ( U21 - U22 ) * InpC!$F34 ) )</f>
        <v>1750000</v>
      </c>
      <c r="V23" s="11">
        <f ca="1" xml:space="preserve">  IF( V19 = 0, $F18, V20 + ( ( V21 - V22 ) * InpC!$F34 ) )</f>
        <v>1750000</v>
      </c>
      <c r="W23" s="11">
        <f ca="1" xml:space="preserve">  IF( W19 = 0, $F18, W20 + ( ( W21 - W22 ) * InpC!$F34 ) )</f>
        <v>1750000</v>
      </c>
      <c r="X23" s="11">
        <f ca="1" xml:space="preserve">  IF( X19 = 0, $F18, X20 + ( ( X21 - X22 ) * InpC!$F34 ) )</f>
        <v>1750000</v>
      </c>
      <c r="Y23" s="11">
        <f ca="1" xml:space="preserve">  IF( Y19 = 0, $F18, Y20 + ( ( Y21 - Y22 ) * InpC!$F34 ) )</f>
        <v>1925000</v>
      </c>
      <c r="Z23" s="11">
        <f ca="1" xml:space="preserve">  IF( Z19 = 0, $F18, Z20 + ( ( Z21 - Z22 ) * InpC!$F34 ) )</f>
        <v>2100000</v>
      </c>
      <c r="AA23" s="11">
        <f ca="1" xml:space="preserve">  IF( AA19 = 0, $F18, AA20 + ( ( AA21 - AA22 ) * InpC!$F34 ) )</f>
        <v>2275000</v>
      </c>
      <c r="AB23" s="11">
        <f ca="1" xml:space="preserve">  IF( AB19 = 0, $F18, AB20 + ( ( AB21 - AB22 ) * InpC!$F34 ) )</f>
        <v>2625000</v>
      </c>
      <c r="AC23" s="11">
        <f ca="1" xml:space="preserve">  IF( AC19 = 0, $F18, AC20 + ( ( AC21 - AC22 ) * InpC!$F34 ) )</f>
        <v>2975000</v>
      </c>
      <c r="AD23" s="11">
        <f ca="1" xml:space="preserve">  IF( AD19 = 0, $F18, AD20 + ( ( AD21 - AD22 ) * InpC!$F34 ) )</f>
        <v>3150000</v>
      </c>
      <c r="AE23" s="11">
        <f ca="1" xml:space="preserve">  IF( AE19 = 0, $F18, AE20 + ( ( AE21 - AE22 ) * InpC!$F34 ) )</f>
        <v>3500000</v>
      </c>
      <c r="AF23" s="11">
        <f ca="1" xml:space="preserve">  IF( AF19 = 0, $F18, AF20 + ( ( AF21 - AF22 ) * InpC!$F34 ) )</f>
        <v>3850000</v>
      </c>
      <c r="AG23" s="11">
        <f ca="1" xml:space="preserve">  IF( AG19 = 0, $F18, AG20 + ( ( AG21 - AG22 ) * InpC!$F34 ) )</f>
        <v>4200000</v>
      </c>
      <c r="AH23" s="11">
        <f ca="1" xml:space="preserve">  IF( AH19 = 0, $F18, AH20 + ( ( AH21 - AH22 ) * InpC!$F34 ) )</f>
        <v>4515000</v>
      </c>
      <c r="AI23" s="11">
        <f ca="1" xml:space="preserve">  IF( AI19 = 0, $F18, AI20 + ( ( AI21 - AI22 ) * InpC!$F34 ) )</f>
        <v>5005000</v>
      </c>
      <c r="AJ23" s="11">
        <f ca="1" xml:space="preserve">  IF( AJ19 = 0, $F18, AJ20 + ( ( AJ21 - AJ22 ) * InpC!$F34 ) )</f>
        <v>5320000</v>
      </c>
      <c r="AK23" s="11">
        <f ca="1" xml:space="preserve">  IF( AK19 = 0, $F18, AK20 + ( ( AK21 - AK22 ) * InpC!$F34 ) )</f>
        <v>5810000</v>
      </c>
      <c r="AL23" s="11">
        <f ca="1" xml:space="preserve">  IF( AL19 = 0, $F18, AL20 + ( ( AL21 - AL22 ) * InpC!$F34 ) )</f>
        <v>6230000</v>
      </c>
      <c r="AM23" s="11">
        <f ca="1" xml:space="preserve">  IF( AM19 = 0, $F18, AM20 + ( ( AM21 - AM22 ) * InpC!$F34 ) )</f>
        <v>6650000</v>
      </c>
      <c r="AN23" s="11">
        <f ca="1" xml:space="preserve">  IF( AN19 = 0, $F18, AN20 + ( ( AN21 - AN22 ) * InpC!$F34 ) )</f>
        <v>7245000</v>
      </c>
      <c r="AO23" s="11">
        <f ca="1" xml:space="preserve">  IF( AO19 = 0, $F18, AO20 + ( ( AO21 - AO22 ) * InpC!$F34 ) )</f>
        <v>7770000</v>
      </c>
      <c r="AP23" s="11">
        <f ca="1" xml:space="preserve">  IF( AP19 = 0, $F18, AP20 + ( ( AP21 - AP22 ) * InpC!$F34 ) )</f>
        <v>8295000</v>
      </c>
      <c r="AQ23" s="11">
        <f ca="1" xml:space="preserve">  IF( AQ19 = 0, $F18, AQ20 + ( ( AQ21 - AQ22 ) * InpC!$F34 ) )</f>
        <v>8995000</v>
      </c>
      <c r="AR23" s="11">
        <f ca="1" xml:space="preserve">  IF( AR19 = 0, $F18, AR20 + ( ( AR21 - AR22 ) * InpC!$F34 ) )</f>
        <v>9520000</v>
      </c>
      <c r="AS23" s="11">
        <f ca="1" xml:space="preserve">  IF( AS19 = 0, $F18, AS20 + ( ( AS21 - AS22 ) * InpC!$F34 ) )</f>
        <v>10220000</v>
      </c>
      <c r="AT23" s="11">
        <f ca="1" xml:space="preserve">  IF( AT19 = 0, $F18, AT20 + ( ( AT21 - AT22 ) * InpC!$F34 ) )</f>
        <v>11084593.958487123</v>
      </c>
      <c r="AU23" s="11">
        <f ca="1" xml:space="preserve">  IF( AU19 = 0, $F18, AU20 + ( ( AU21 - AU22 ) * InpC!$F34 ) )</f>
        <v>11763163.100032983</v>
      </c>
      <c r="AV23" s="11">
        <f ca="1" xml:space="preserve">  IF( AV19 = 0, $F18, AV20 + ( ( AV21 - AV22 ) * InpC!$F34 ) )</f>
        <v>12605051.854907507</v>
      </c>
      <c r="AW23" s="11">
        <f ca="1" xml:space="preserve">  IF( AW19 = 0, $F18, AW20 + ( ( AW21 - AW22 ) * InpC!$F34 ) )</f>
        <v>13434565.671175905</v>
      </c>
      <c r="AX23" s="11">
        <f ca="1" xml:space="preserve">  IF( AX19 = 0, $F18, AX20 + ( ( AX21 - AX22 ) * InpC!$F34 ) )</f>
        <v>14425968.696696149</v>
      </c>
      <c r="AY23" s="11">
        <f ca="1" xml:space="preserve">  IF( AY19 = 0, $F18, AY20 + ( ( AY21 - AY22 ) * InpC!$F34 ) )</f>
        <v>15403481.323280858</v>
      </c>
      <c r="AZ23" s="11">
        <f ca="1" xml:space="preserve">  IF( AZ19 = 0, $F18, AZ20 + ( ( AZ21 - AZ22 ) * InpC!$F34 ) )</f>
        <v>16366277.584827438</v>
      </c>
      <c r="BA23" s="11">
        <f ca="1" xml:space="preserve">  IF( BA19 = 0, $F18, BA20 + ( ( BA21 - BA22 ) * InpC!$F34 ) )</f>
        <v>17488482.400733002</v>
      </c>
      <c r="BB23" s="11">
        <f ca="1" xml:space="preserve">  IF( BB19 = 0, $F18, BB20 + ( ( BB21 - BB22 ) * InpC!$F34 ) )</f>
        <v>18594168.6553942</v>
      </c>
      <c r="BC23" s="11">
        <f ca="1" xml:space="preserve">  IF( BC19 = 0, $F18, BC20 + ( ( BC21 - BC22 ) * InpC!$F34 ) )</f>
        <v>19857354.104045082</v>
      </c>
      <c r="BD23" s="11">
        <f ca="1" xml:space="preserve">  IF( BD19 = 0, $F18, BD20 + ( ( BD21 - BD22 ) * InpC!$F34 ) )</f>
        <v>21101998.094606489</v>
      </c>
      <c r="BE23" s="11">
        <f ca="1" xml:space="preserve">  IF( BE19 = 0, $F18, BE20 + ( ( BE21 - BE22 ) * InpC!$F34 ) )</f>
        <v>22501998.094606489</v>
      </c>
      <c r="BF23" s="11">
        <f ca="1" xml:space="preserve">  IF( BF19 = 0, $F18, BF20 + ( ( BF21 - BF22 ) * InpC!$F34 ) )</f>
        <v>23849686.011580735</v>
      </c>
      <c r="BG23" s="11">
        <f ca="1" xml:space="preserve">  IF( BG19 = 0, $F18, BG20 + ( ( BG21 - BG22 ) * InpC!$F34 ) )</f>
        <v>25350324.294672456</v>
      </c>
      <c r="BH23" s="11">
        <f ca="1" xml:space="preserve">  IF( BH19 = 0, $F18, BH20 + ( ( BH21 - BH22 ) * InpC!$F34 ) )</f>
        <v>27002601.804421503</v>
      </c>
      <c r="BI23" s="11">
        <f ca="1" xml:space="preserve">  IF( BI19 = 0, $F18, BI20 + ( ( BI21 - BI22 ) * InpC!$F34 ) )</f>
        <v>28630129.436958298</v>
      </c>
      <c r="BJ23" s="11">
        <f ca="1" xml:space="preserve">  IF( BJ19 = 0, $F18, BJ20 + ( ( BJ21 - BJ22 ) * InpC!$F34 ) )</f>
        <v>30343435.487998787</v>
      </c>
      <c r="BK23" s="11">
        <f ca="1" xml:space="preserve">  IF( BK19 = 0, $F18, BK20 + ( ( BK21 - BK22 ) * InpC!$F34 ) )</f>
        <v>32203960.741168205</v>
      </c>
      <c r="BL23" s="11">
        <f ca="1" xml:space="preserve">  IF( BL19 = 0, $F18, BL20 + ( ( BL21 - BL22 ) * InpC!$F34 ) )</f>
        <v>34210053.264261365</v>
      </c>
      <c r="BM23" s="11">
        <f ca="1" xml:space="preserve">  IF( BM19 = 0, $F18, BM20 + ( ( BM21 - BM22 ) * InpC!$F34 ) )</f>
        <v>36121962.896072492</v>
      </c>
      <c r="BN23" s="11">
        <f ca="1" xml:space="preserve">  IF( BN19 = 0, $F18, BN20 + ( ( BN21 - BN22 ) * InpC!$F34 ) )</f>
        <v>38350835.405394889</v>
      </c>
      <c r="BO23" s="11">
        <f ca="1" xml:space="preserve">  IF( BO19 = 0, $F18, BO20 + ( ( BO21 - BO22 ) * InpC!$F34 ) )</f>
        <v>40544706.302696653</v>
      </c>
      <c r="BP23" s="11">
        <f ca="1" xml:space="preserve">  IF( BP19 = 0, $F18, BP20 + ( ( BP21 - BP22 ) * InpC!$F34 ) )</f>
        <v>43051494.283819467</v>
      </c>
      <c r="BQ23" s="11">
        <f ca="1" xml:space="preserve">  IF( BQ19 = 0, $F18, BQ20 + ( ( BQ21 - BQ22 ) * InpC!$F34 ) )</f>
        <v>45518994.283819467</v>
      </c>
    </row>
    <row r="25" spans="1:69">
      <c r="B25" s="25" t="s">
        <v>60</v>
      </c>
    </row>
    <row r="26" spans="1:69" s="82" customFormat="1">
      <c r="A26" s="59"/>
      <c r="B26" s="59"/>
      <c r="C26" s="87"/>
      <c r="D26" s="84"/>
      <c r="E26" s="40" t="str">
        <f xml:space="preserve">  InpC!E$46</f>
        <v>Opening Depreciation</v>
      </c>
      <c r="F26" s="40">
        <f xml:space="preserve">  InpC!F$46</f>
        <v>0</v>
      </c>
      <c r="G26" s="40" t="str">
        <f xml:space="preserve">  InpC!G$46</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249</v>
      </c>
      <c r="G28" s="47" t="s">
        <v>258</v>
      </c>
      <c r="J28" s="2">
        <f t="shared" ref="J28:BQ28" si="5" xml:space="preserve">  I31</f>
        <v>0</v>
      </c>
      <c r="K28" s="2">
        <f t="shared" ca="1" si="5"/>
        <v>-7291.666666666667</v>
      </c>
      <c r="L28" s="2">
        <f t="shared" ca="1" si="5"/>
        <v>-7291.666666666667</v>
      </c>
      <c r="M28" s="2">
        <f t="shared" ca="1" si="5"/>
        <v>-21875</v>
      </c>
      <c r="N28" s="2">
        <f t="shared" ca="1" si="5"/>
        <v>-36458.333333333336</v>
      </c>
      <c r="O28" s="2">
        <f t="shared" ca="1" si="5"/>
        <v>-51041.666666666672</v>
      </c>
      <c r="P28" s="2">
        <f t="shared" ca="1" si="5"/>
        <v>-36458.333333333336</v>
      </c>
      <c r="Q28" s="2">
        <f t="shared" ca="1" si="5"/>
        <v>-36458.333333333336</v>
      </c>
      <c r="R28" s="2">
        <f t="shared" ca="1" si="5"/>
        <v>-21875</v>
      </c>
      <c r="S28" s="2">
        <f t="shared" ca="1" si="5"/>
        <v>-21875</v>
      </c>
      <c r="T28" s="2">
        <f t="shared" ca="1" si="5"/>
        <v>7291.6666666666679</v>
      </c>
      <c r="U28" s="2">
        <f t="shared" ca="1" si="5"/>
        <v>36458.333333333336</v>
      </c>
      <c r="V28" s="2">
        <f t="shared" ca="1" si="5"/>
        <v>80208.333333333343</v>
      </c>
      <c r="W28" s="2">
        <f t="shared" ca="1" si="5"/>
        <v>138541.66666666669</v>
      </c>
      <c r="X28" s="2">
        <f t="shared" ca="1" si="5"/>
        <v>196875.00000000003</v>
      </c>
      <c r="Y28" s="2">
        <f t="shared" ca="1" si="5"/>
        <v>269791.66666666669</v>
      </c>
      <c r="Z28" s="2">
        <f t="shared" ca="1" si="5"/>
        <v>335416.66666666669</v>
      </c>
      <c r="AA28" s="2">
        <f t="shared" ca="1" si="5"/>
        <v>401041.66666666669</v>
      </c>
      <c r="AB28" s="2">
        <f t="shared" ca="1" si="5"/>
        <v>466666.66666666669</v>
      </c>
      <c r="AC28" s="2">
        <f t="shared" ca="1" si="5"/>
        <v>525000</v>
      </c>
      <c r="AD28" s="2">
        <f t="shared" ca="1" si="5"/>
        <v>583333.33333333337</v>
      </c>
      <c r="AE28" s="2">
        <f t="shared" ca="1" si="5"/>
        <v>648958.33333333337</v>
      </c>
      <c r="AF28" s="2">
        <f t="shared" ca="1" si="5"/>
        <v>714583.33333333337</v>
      </c>
      <c r="AG28" s="2">
        <f t="shared" ca="1" si="5"/>
        <v>787500</v>
      </c>
      <c r="AH28" s="2">
        <f t="shared" ca="1" si="5"/>
        <v>867708.33333333337</v>
      </c>
      <c r="AI28" s="2">
        <f t="shared" ca="1" si="5"/>
        <v>927500</v>
      </c>
      <c r="AJ28" s="2">
        <f t="shared" ca="1" si="5"/>
        <v>993125</v>
      </c>
      <c r="AK28" s="2">
        <f t="shared" ca="1" si="5"/>
        <v>1071875</v>
      </c>
      <c r="AL28" s="2">
        <f t="shared" ca="1" si="5"/>
        <v>1156458.3333333333</v>
      </c>
      <c r="AM28" s="2">
        <f t="shared" ca="1" si="5"/>
        <v>1184166.6666666665</v>
      </c>
      <c r="AN28" s="2">
        <f t="shared" ca="1" si="5"/>
        <v>1222083.3333333333</v>
      </c>
      <c r="AO28" s="2">
        <f t="shared" ca="1" si="5"/>
        <v>1262916.6666666665</v>
      </c>
      <c r="AP28" s="2">
        <f t="shared" ca="1" si="5"/>
        <v>1251249.9999999998</v>
      </c>
      <c r="AQ28" s="2">
        <f t="shared" ca="1" si="5"/>
        <v>1246874.9999999998</v>
      </c>
      <c r="AR28" s="2">
        <f t="shared" ca="1" si="5"/>
        <v>1249791.6666666665</v>
      </c>
      <c r="AS28" s="2">
        <f t="shared" ca="1" si="5"/>
        <v>1274583.3333333333</v>
      </c>
      <c r="AT28" s="2">
        <f t="shared" ca="1" si="5"/>
        <v>1306666.6666666665</v>
      </c>
      <c r="AU28" s="2">
        <f t="shared" ca="1" si="5"/>
        <v>1342927.2918204565</v>
      </c>
      <c r="AV28" s="2">
        <f t="shared" ca="1" si="5"/>
        <v>1396896.1816366129</v>
      </c>
      <c r="AW28" s="2">
        <f t="shared" ca="1" si="5"/>
        <v>1452875.0656791776</v>
      </c>
      <c r="AX28" s="2">
        <f t="shared" ca="1" si="5"/>
        <v>1524266.0425687211</v>
      </c>
      <c r="AY28" s="2">
        <f t="shared" ca="1" si="5"/>
        <v>1595234.304387961</v>
      </c>
      <c r="AZ28" s="2">
        <f t="shared" ca="1" si="5"/>
        <v>1679037.2933350091</v>
      </c>
      <c r="BA28" s="2">
        <f t="shared" ca="1" si="5"/>
        <v>1781561.9433516257</v>
      </c>
      <c r="BB28" s="2">
        <f t="shared" ca="1" si="5"/>
        <v>1886736.6586250009</v>
      </c>
      <c r="BC28" s="2">
        <f t="shared" ca="1" si="5"/>
        <v>2007568.0133167424</v>
      </c>
      <c r="BD28" s="2">
        <f t="shared" ca="1" si="5"/>
        <v>2135093.8226090488</v>
      </c>
      <c r="BE28" s="2">
        <f t="shared" ca="1" si="5"/>
        <v>2282127.5675056675</v>
      </c>
      <c r="BF28" s="2">
        <f t="shared" ca="1" si="5"/>
        <v>2439502.4881142713</v>
      </c>
      <c r="BG28" s="2">
        <f t="shared" ca="1" si="5"/>
        <v>2581023.6590304547</v>
      </c>
      <c r="BH28" s="2">
        <f t="shared" ca="1" si="5"/>
        <v>2734773.8592713713</v>
      </c>
      <c r="BI28" s="2">
        <f t="shared" ca="1" si="5"/>
        <v>2898523.2146317712</v>
      </c>
      <c r="BJ28" s="2">
        <f t="shared" ca="1" si="5"/>
        <v>3084492.5890194611</v>
      </c>
      <c r="BK28" s="2">
        <f t="shared" ca="1" si="5"/>
        <v>3219887.3665998778</v>
      </c>
      <c r="BL28" s="2">
        <f t="shared" ca="1" si="5"/>
        <v>3369722.4317692439</v>
      </c>
      <c r="BM28" s="2">
        <f t="shared" ca="1" si="5"/>
        <v>3531188.3190777469</v>
      </c>
      <c r="BN28" s="2">
        <f t="shared" ca="1" si="5"/>
        <v>3652891.8368997667</v>
      </c>
      <c r="BO28" s="2">
        <f t="shared" ca="1" si="5"/>
        <v>3784762.8002251862</v>
      </c>
      <c r="BP28" s="2">
        <f t="shared" ca="1" si="5"/>
        <v>3938043.5060850689</v>
      </c>
      <c r="BQ28" s="2">
        <f t="shared" ca="1" si="5"/>
        <v>4101902.5831535766</v>
      </c>
    </row>
    <row r="29" spans="1:69">
      <c r="D29" s="91" t="s">
        <v>219</v>
      </c>
      <c r="E29" s="2" t="str">
        <f t="shared" ref="E29:BQ29" si="6" xml:space="preserve">  E$13</f>
        <v>Depreciation this period POS</v>
      </c>
      <c r="F29" s="2">
        <f t="shared" si="6"/>
        <v>0</v>
      </c>
      <c r="G29" s="2" t="str">
        <f t="shared" si="6"/>
        <v>GBP</v>
      </c>
      <c r="H29" s="2">
        <f t="shared" ca="1" si="6"/>
        <v>16175470.56115992</v>
      </c>
      <c r="I29" s="2">
        <f t="shared" si="6"/>
        <v>0</v>
      </c>
      <c r="J29" s="2">
        <f t="shared" ca="1" si="6"/>
        <v>-7291.666666666667</v>
      </c>
      <c r="K29" s="2">
        <f t="shared" ca="1" si="6"/>
        <v>0</v>
      </c>
      <c r="L29" s="2">
        <f t="shared" ca="1" si="6"/>
        <v>-14583.333333333334</v>
      </c>
      <c r="M29" s="2">
        <f t="shared" ca="1" si="6"/>
        <v>-14583.333333333334</v>
      </c>
      <c r="N29" s="2">
        <f t="shared" ca="1" si="6"/>
        <v>-14583.333333333334</v>
      </c>
      <c r="O29" s="2">
        <f t="shared" ca="1" si="6"/>
        <v>14583.333333333334</v>
      </c>
      <c r="P29" s="2">
        <f t="shared" ca="1" si="6"/>
        <v>0</v>
      </c>
      <c r="Q29" s="2">
        <f t="shared" ca="1" si="6"/>
        <v>14583.333333333334</v>
      </c>
      <c r="R29" s="2">
        <f t="shared" ca="1" si="6"/>
        <v>0</v>
      </c>
      <c r="S29" s="2">
        <f t="shared" ca="1" si="6"/>
        <v>29166.666666666668</v>
      </c>
      <c r="T29" s="2">
        <f t="shared" ca="1" si="6"/>
        <v>29166.666666666668</v>
      </c>
      <c r="U29" s="2">
        <f t="shared" ca="1" si="6"/>
        <v>43750</v>
      </c>
      <c r="V29" s="2">
        <f t="shared" ca="1" si="6"/>
        <v>58333.333333333336</v>
      </c>
      <c r="W29" s="2">
        <f t="shared" ca="1" si="6"/>
        <v>58333.333333333336</v>
      </c>
      <c r="X29" s="2">
        <f t="shared" ca="1" si="6"/>
        <v>72916.666666666672</v>
      </c>
      <c r="Y29" s="2">
        <f t="shared" ca="1" si="6"/>
        <v>65625</v>
      </c>
      <c r="Z29" s="2">
        <f t="shared" ca="1" si="6"/>
        <v>65625</v>
      </c>
      <c r="AA29" s="2">
        <f t="shared" ca="1" si="6"/>
        <v>65625</v>
      </c>
      <c r="AB29" s="2">
        <f t="shared" ca="1" si="6"/>
        <v>58333.333333333336</v>
      </c>
      <c r="AC29" s="2">
        <f t="shared" ca="1" si="6"/>
        <v>58333.333333333336</v>
      </c>
      <c r="AD29" s="2">
        <f t="shared" ca="1" si="6"/>
        <v>65625</v>
      </c>
      <c r="AE29" s="2">
        <f t="shared" ca="1" si="6"/>
        <v>65625</v>
      </c>
      <c r="AF29" s="2">
        <f t="shared" ca="1" si="6"/>
        <v>72916.666666666672</v>
      </c>
      <c r="AG29" s="2">
        <f t="shared" ca="1" si="6"/>
        <v>80208.333333333328</v>
      </c>
      <c r="AH29" s="2">
        <f t="shared" ca="1" si="6"/>
        <v>94791.666666666672</v>
      </c>
      <c r="AI29" s="2">
        <f t="shared" ca="1" si="6"/>
        <v>100625</v>
      </c>
      <c r="AJ29" s="2">
        <f t="shared" ca="1" si="6"/>
        <v>113750</v>
      </c>
      <c r="AK29" s="2">
        <f t="shared" ca="1" si="6"/>
        <v>119583.33333333333</v>
      </c>
      <c r="AL29" s="2">
        <f t="shared" ca="1" si="6"/>
        <v>132708.33333333334</v>
      </c>
      <c r="AM29" s="2">
        <f t="shared" ca="1" si="6"/>
        <v>142916.66666666666</v>
      </c>
      <c r="AN29" s="2">
        <f t="shared" ca="1" si="6"/>
        <v>145833.33333333334</v>
      </c>
      <c r="AO29" s="2">
        <f t="shared" ca="1" si="6"/>
        <v>163333.33333333334</v>
      </c>
      <c r="AP29" s="2">
        <f t="shared" ca="1" si="6"/>
        <v>170625</v>
      </c>
      <c r="AQ29" s="2">
        <f t="shared" ca="1" si="6"/>
        <v>177916.66666666666</v>
      </c>
      <c r="AR29" s="2">
        <f t="shared" ca="1" si="6"/>
        <v>199791.66666666666</v>
      </c>
      <c r="AS29" s="2">
        <f t="shared" ca="1" si="6"/>
        <v>207083.33333333334</v>
      </c>
      <c r="AT29" s="2">
        <f t="shared" ca="1" si="6"/>
        <v>221666.66666666666</v>
      </c>
      <c r="AU29" s="2">
        <f t="shared" ca="1" si="6"/>
        <v>250399.74827029681</v>
      </c>
      <c r="AV29" s="2">
        <f t="shared" ca="1" si="6"/>
        <v>264090.12916804099</v>
      </c>
      <c r="AW29" s="2">
        <f t="shared" ca="1" si="6"/>
        <v>291877.16062114615</v>
      </c>
      <c r="AX29" s="2">
        <f t="shared" ca="1" si="6"/>
        <v>304565.23629899602</v>
      </c>
      <c r="AY29" s="2">
        <f t="shared" ca="1" si="6"/>
        <v>331290.36236233957</v>
      </c>
      <c r="AZ29" s="2">
        <f t="shared" ca="1" si="6"/>
        <v>364728.38847003574</v>
      </c>
      <c r="BA29" s="2">
        <f t="shared" ca="1" si="6"/>
        <v>382969.89936780994</v>
      </c>
      <c r="BB29" s="2">
        <f t="shared" ca="1" si="6"/>
        <v>415145.10003054171</v>
      </c>
      <c r="BC29" s="2">
        <f t="shared" ca="1" si="6"/>
        <v>439340.36064142501</v>
      </c>
      <c r="BD29" s="2">
        <f t="shared" ca="1" si="6"/>
        <v>477389.75433521176</v>
      </c>
      <c r="BE29" s="2">
        <f t="shared" ca="1" si="6"/>
        <v>507374.92060860369</v>
      </c>
      <c r="BF29" s="2">
        <f t="shared" ca="1" si="6"/>
        <v>543833.253941937</v>
      </c>
      <c r="BG29" s="2">
        <f t="shared" ca="1" si="6"/>
        <v>578111.91714919731</v>
      </c>
      <c r="BH29" s="2">
        <f t="shared" ca="1" si="6"/>
        <v>611471.84561135236</v>
      </c>
      <c r="BI29" s="2">
        <f t="shared" ca="1" si="6"/>
        <v>658441.74185089592</v>
      </c>
      <c r="BJ29" s="2">
        <f t="shared" ca="1" si="6"/>
        <v>697088.72653992905</v>
      </c>
      <c r="BK29" s="2">
        <f t="shared" ca="1" si="6"/>
        <v>739309.81199994951</v>
      </c>
      <c r="BL29" s="2">
        <f t="shared" ca="1" si="6"/>
        <v>780373.36421534186</v>
      </c>
      <c r="BM29" s="2">
        <f t="shared" ca="1" si="6"/>
        <v>834793.88601089024</v>
      </c>
      <c r="BN29" s="2">
        <f t="shared" ca="1" si="6"/>
        <v>877998.45400302054</v>
      </c>
      <c r="BO29" s="2">
        <f t="shared" ca="1" si="6"/>
        <v>934409.80855812039</v>
      </c>
      <c r="BP29" s="2">
        <f t="shared" ca="1" si="6"/>
        <v>982071.0959456939</v>
      </c>
      <c r="BQ29" s="2">
        <f t="shared" ca="1" si="6"/>
        <v>1050062.2618258111</v>
      </c>
    </row>
    <row r="30" spans="1:69">
      <c r="A30" s="18"/>
      <c r="B30" s="18"/>
      <c r="C30" s="28"/>
      <c r="D30" s="27" t="s">
        <v>300</v>
      </c>
      <c r="E30" s="4" t="str">
        <f xml:space="preserve">  Inventory!E$77</f>
        <v>Units retired</v>
      </c>
      <c r="F30" s="4">
        <f xml:space="preserve">  Inventory!F$77</f>
        <v>0</v>
      </c>
      <c r="G30" s="4" t="str">
        <f xml:space="preserve">  Inventory!G$77</f>
        <v>Units</v>
      </c>
      <c r="H30" s="4">
        <f ca="1" xml:space="preserve">  Inventory!H$77</f>
        <v>339457.30617658654</v>
      </c>
      <c r="I30" s="4">
        <f xml:space="preserve">  Inventory!I$77</f>
        <v>0</v>
      </c>
      <c r="J30" s="4">
        <f ca="1" xml:space="preserve">  Inventory!J$77</f>
        <v>0</v>
      </c>
      <c r="K30" s="4">
        <f ca="1" xml:space="preserve">  Inventory!K$77</f>
        <v>0</v>
      </c>
      <c r="L30" s="4">
        <f ca="1" xml:space="preserve">  Inventory!L$77</f>
        <v>0</v>
      </c>
      <c r="M30" s="4">
        <f ca="1" xml:space="preserve">  Inventory!M$77</f>
        <v>0</v>
      </c>
      <c r="N30" s="4">
        <f ca="1" xml:space="preserve">  Inventory!N$77</f>
        <v>0</v>
      </c>
      <c r="O30" s="4">
        <f ca="1" xml:space="preserve">  Inventory!O$77</f>
        <v>0</v>
      </c>
      <c r="P30" s="4">
        <f ca="1" xml:space="preserve">  Inventory!P$77</f>
        <v>0</v>
      </c>
      <c r="Q30" s="4">
        <f ca="1" xml:space="preserve">  Inventory!Q$77</f>
        <v>0</v>
      </c>
      <c r="R30" s="4">
        <f ca="1" xml:space="preserve">  Inventory!R$77</f>
        <v>0</v>
      </c>
      <c r="S30" s="4">
        <f ca="1" xml:space="preserve">  Inventory!S$77</f>
        <v>0</v>
      </c>
      <c r="T30" s="4">
        <f ca="1" xml:space="preserve">  Inventory!T$77</f>
        <v>0</v>
      </c>
      <c r="U30" s="4">
        <f ca="1" xml:space="preserve">  Inventory!U$77</f>
        <v>0</v>
      </c>
      <c r="V30" s="4">
        <f ca="1" xml:space="preserve">  Inventory!V$77</f>
        <v>0</v>
      </c>
      <c r="W30" s="4">
        <f ca="1" xml:space="preserve">  Inventory!W$77</f>
        <v>0</v>
      </c>
      <c r="X30" s="4">
        <f ca="1" xml:space="preserve">  Inventory!X$77</f>
        <v>0</v>
      </c>
      <c r="Y30" s="4">
        <f ca="1" xml:space="preserve">  Inventory!Y$77</f>
        <v>0</v>
      </c>
      <c r="Z30" s="4">
        <f ca="1" xml:space="preserve">  Inventory!Z$77</f>
        <v>0</v>
      </c>
      <c r="AA30" s="4">
        <f ca="1" xml:space="preserve">  Inventory!AA$77</f>
        <v>0</v>
      </c>
      <c r="AB30" s="4">
        <f ca="1" xml:space="preserve">  Inventory!AB$77</f>
        <v>0</v>
      </c>
      <c r="AC30" s="4">
        <f ca="1" xml:space="preserve">  Inventory!AC$77</f>
        <v>0</v>
      </c>
      <c r="AD30" s="4">
        <f ca="1" xml:space="preserve">  Inventory!AD$77</f>
        <v>0</v>
      </c>
      <c r="AE30" s="4">
        <f ca="1" xml:space="preserve">  Inventory!AE$77</f>
        <v>0</v>
      </c>
      <c r="AF30" s="4">
        <f ca="1" xml:space="preserve">  Inventory!AF$77</f>
        <v>0</v>
      </c>
      <c r="AG30" s="4">
        <f ca="1" xml:space="preserve">  Inventory!AG$77</f>
        <v>0</v>
      </c>
      <c r="AH30" s="4">
        <f ca="1" xml:space="preserve">  Inventory!AH$77</f>
        <v>1000</v>
      </c>
      <c r="AI30" s="4">
        <f ca="1" xml:space="preserve">  Inventory!AI$77</f>
        <v>1000</v>
      </c>
      <c r="AJ30" s="4">
        <f ca="1" xml:space="preserve">  Inventory!AJ$77</f>
        <v>1000</v>
      </c>
      <c r="AK30" s="4">
        <f ca="1" xml:space="preserve">  Inventory!AK$77</f>
        <v>1000</v>
      </c>
      <c r="AL30" s="4">
        <f ca="1" xml:space="preserve">  Inventory!AL$77</f>
        <v>3000</v>
      </c>
      <c r="AM30" s="4">
        <f ca="1" xml:space="preserve">  Inventory!AM$77</f>
        <v>3000</v>
      </c>
      <c r="AN30" s="4">
        <f ca="1" xml:space="preserve">  Inventory!AN$77</f>
        <v>3000</v>
      </c>
      <c r="AO30" s="4">
        <f ca="1" xml:space="preserve">  Inventory!AO$77</f>
        <v>5000</v>
      </c>
      <c r="AP30" s="4">
        <f ca="1" xml:space="preserve">  Inventory!AP$77</f>
        <v>5000</v>
      </c>
      <c r="AQ30" s="4">
        <f ca="1" xml:space="preserve">  Inventory!AQ$77</f>
        <v>5000</v>
      </c>
      <c r="AR30" s="4">
        <f ca="1" xml:space="preserve">  Inventory!AR$77</f>
        <v>5000</v>
      </c>
      <c r="AS30" s="4">
        <f ca="1" xml:space="preserve">  Inventory!AS$77</f>
        <v>5000</v>
      </c>
      <c r="AT30" s="4">
        <f ca="1" xml:space="preserve">  Inventory!AT$77</f>
        <v>5297.3154717964762</v>
      </c>
      <c r="AU30" s="4">
        <f ca="1" xml:space="preserve">  Inventory!AU$77</f>
        <v>5612.3102415468647</v>
      </c>
      <c r="AV30" s="4">
        <f ca="1" xml:space="preserve">  Inventory!AV$77</f>
        <v>5946.035575013605</v>
      </c>
      <c r="AW30" s="4">
        <f ca="1" xml:space="preserve">  Inventory!AW$77</f>
        <v>6299.6052494743653</v>
      </c>
      <c r="AX30" s="4">
        <f ca="1" xml:space="preserve">  Inventory!AX$77</f>
        <v>6674.1992708501712</v>
      </c>
      <c r="AY30" s="4">
        <f ca="1" xml:space="preserve">  Inventory!AY$77</f>
        <v>7071.0678118654751</v>
      </c>
      <c r="AZ30" s="4">
        <f ca="1" xml:space="preserve">  Inventory!AZ$77</f>
        <v>7491.5353843834073</v>
      </c>
      <c r="BA30" s="4">
        <f ca="1" xml:space="preserve">  Inventory!BA$77</f>
        <v>7937.0052598409975</v>
      </c>
      <c r="BB30" s="4">
        <f ca="1" xml:space="preserve">  Inventory!BB$77</f>
        <v>8408.9641525371462</v>
      </c>
      <c r="BC30" s="4">
        <f ca="1" xml:space="preserve">  Inventory!BC$77</f>
        <v>8908.9871814033941</v>
      </c>
      <c r="BD30" s="4">
        <f ca="1" xml:space="preserve">  Inventory!BD$77</f>
        <v>9438.7431268169366</v>
      </c>
      <c r="BE30" s="4">
        <f ca="1" xml:space="preserve">  Inventory!BE$77</f>
        <v>10000.000000000002</v>
      </c>
      <c r="BF30" s="4">
        <f ca="1" xml:space="preserve">  Inventory!BF$77</f>
        <v>11494.630943592954</v>
      </c>
      <c r="BG30" s="4">
        <f ca="1" xml:space="preserve">  Inventory!BG$77</f>
        <v>12124.620483093731</v>
      </c>
      <c r="BH30" s="4">
        <f ca="1" xml:space="preserve">  Inventory!BH$77</f>
        <v>12792.071150027214</v>
      </c>
      <c r="BI30" s="4">
        <f ca="1" xml:space="preserve">  Inventory!BI$77</f>
        <v>13499.210498948736</v>
      </c>
      <c r="BJ30" s="4">
        <f ca="1" xml:space="preserve">  Inventory!BJ$77</f>
        <v>16048.39854170035</v>
      </c>
      <c r="BK30" s="4">
        <f ca="1" xml:space="preserve">  Inventory!BK$77</f>
        <v>16842.135623730959</v>
      </c>
      <c r="BL30" s="4">
        <f ca="1" xml:space="preserve">  Inventory!BL$77</f>
        <v>17683.070768766825</v>
      </c>
      <c r="BM30" s="4">
        <f ca="1" xml:space="preserve">  Inventory!BM$77</f>
        <v>20374.010519682004</v>
      </c>
      <c r="BN30" s="4">
        <f ca="1" xml:space="preserve">  Inventory!BN$77</f>
        <v>21317.9283050743</v>
      </c>
      <c r="BO30" s="4">
        <f ca="1" xml:space="preserve">  Inventory!BO$77</f>
        <v>22317.974362806795</v>
      </c>
      <c r="BP30" s="4">
        <f ca="1" xml:space="preserve">  Inventory!BP$77</f>
        <v>23377.486253633881</v>
      </c>
      <c r="BQ30" s="4">
        <f ca="1" xml:space="preserve">  Inventory!BQ$77</f>
        <v>24500.000000000011</v>
      </c>
    </row>
    <row r="31" spans="1:69">
      <c r="E31" s="47" t="s">
        <v>140</v>
      </c>
      <c r="G31" s="47" t="s">
        <v>258</v>
      </c>
      <c r="I31" s="2">
        <f xml:space="preserve">  IF( I27 = 0, $F26, I28 + I29 - ( I30 * InpC!$F34 ) )</f>
        <v>0</v>
      </c>
      <c r="J31" s="2">
        <f ca="1" xml:space="preserve">  IF( J27 = 0, $F26, J28 + J29 - ( J30 * InpC!$F34 ) )</f>
        <v>-7291.666666666667</v>
      </c>
      <c r="K31" s="2">
        <f ca="1" xml:space="preserve">  IF( K27 = 0, $F26, K28 + K29 - ( K30 * InpC!$F34 ) )</f>
        <v>-7291.666666666667</v>
      </c>
      <c r="L31" s="2">
        <f ca="1" xml:space="preserve">  IF( L27 = 0, $F26, L28 + L29 - ( L30 * InpC!$F34 ) )</f>
        <v>-21875</v>
      </c>
      <c r="M31" s="2">
        <f ca="1" xml:space="preserve">  IF( M27 = 0, $F26, M28 + M29 - ( M30 * InpC!$F34 ) )</f>
        <v>-36458.333333333336</v>
      </c>
      <c r="N31" s="2">
        <f ca="1" xml:space="preserve">  IF( N27 = 0, $F26, N28 + N29 - ( N30 * InpC!$F34 ) )</f>
        <v>-51041.666666666672</v>
      </c>
      <c r="O31" s="2">
        <f ca="1" xml:space="preserve">  IF( O27 = 0, $F26, O28 + O29 - ( O30 * InpC!$F34 ) )</f>
        <v>-36458.333333333336</v>
      </c>
      <c r="P31" s="2">
        <f ca="1" xml:space="preserve">  IF( P27 = 0, $F26, P28 + P29 - ( P30 * InpC!$F34 ) )</f>
        <v>-36458.333333333336</v>
      </c>
      <c r="Q31" s="2">
        <f ca="1" xml:space="preserve">  IF( Q27 = 0, $F26, Q28 + Q29 - ( Q30 * InpC!$F34 ) )</f>
        <v>-21875</v>
      </c>
      <c r="R31" s="2">
        <f ca="1" xml:space="preserve">  IF( R27 = 0, $F26, R28 + R29 - ( R30 * InpC!$F34 ) )</f>
        <v>-21875</v>
      </c>
      <c r="S31" s="2">
        <f ca="1" xml:space="preserve">  IF( S27 = 0, $F26, S28 + S29 - ( S30 * InpC!$F34 ) )</f>
        <v>7291.6666666666679</v>
      </c>
      <c r="T31" s="2">
        <f ca="1" xml:space="preserve">  IF( T27 = 0, $F26, T28 + T29 - ( T30 * InpC!$F34 ) )</f>
        <v>36458.333333333336</v>
      </c>
      <c r="U31" s="2">
        <f ca="1" xml:space="preserve">  IF( U27 = 0, $F26, U28 + U29 - ( U30 * InpC!$F34 ) )</f>
        <v>80208.333333333343</v>
      </c>
      <c r="V31" s="2">
        <f ca="1" xml:space="preserve">  IF( V27 = 0, $F26, V28 + V29 - ( V30 * InpC!$F34 ) )</f>
        <v>138541.66666666669</v>
      </c>
      <c r="W31" s="2">
        <f ca="1" xml:space="preserve">  IF( W27 = 0, $F26, W28 + W29 - ( W30 * InpC!$F34 ) )</f>
        <v>196875.00000000003</v>
      </c>
      <c r="X31" s="2">
        <f ca="1" xml:space="preserve">  IF( X27 = 0, $F26, X28 + X29 - ( X30 * InpC!$F34 ) )</f>
        <v>269791.66666666669</v>
      </c>
      <c r="Y31" s="2">
        <f ca="1" xml:space="preserve">  IF( Y27 = 0, $F26, Y28 + Y29 - ( Y30 * InpC!$F34 ) )</f>
        <v>335416.66666666669</v>
      </c>
      <c r="Z31" s="2">
        <f ca="1" xml:space="preserve">  IF( Z27 = 0, $F26, Z28 + Z29 - ( Z30 * InpC!$F34 ) )</f>
        <v>401041.66666666669</v>
      </c>
      <c r="AA31" s="2">
        <f ca="1" xml:space="preserve">  IF( AA27 = 0, $F26, AA28 + AA29 - ( AA30 * InpC!$F34 ) )</f>
        <v>466666.66666666669</v>
      </c>
      <c r="AB31" s="2">
        <f ca="1" xml:space="preserve">  IF( AB27 = 0, $F26, AB28 + AB29 - ( AB30 * InpC!$F34 ) )</f>
        <v>525000</v>
      </c>
      <c r="AC31" s="2">
        <f ca="1" xml:space="preserve">  IF( AC27 = 0, $F26, AC28 + AC29 - ( AC30 * InpC!$F34 ) )</f>
        <v>583333.33333333337</v>
      </c>
      <c r="AD31" s="2">
        <f ca="1" xml:space="preserve">  IF( AD27 = 0, $F26, AD28 + AD29 - ( AD30 * InpC!$F34 ) )</f>
        <v>648958.33333333337</v>
      </c>
      <c r="AE31" s="2">
        <f ca="1" xml:space="preserve">  IF( AE27 = 0, $F26, AE28 + AE29 - ( AE30 * InpC!$F34 ) )</f>
        <v>714583.33333333337</v>
      </c>
      <c r="AF31" s="2">
        <f ca="1" xml:space="preserve">  IF( AF27 = 0, $F26, AF28 + AF29 - ( AF30 * InpC!$F34 ) )</f>
        <v>787500</v>
      </c>
      <c r="AG31" s="2">
        <f ca="1" xml:space="preserve">  IF( AG27 = 0, $F26, AG28 + AG29 - ( AG30 * InpC!$F34 ) )</f>
        <v>867708.33333333337</v>
      </c>
      <c r="AH31" s="2">
        <f ca="1" xml:space="preserve">  IF( AH27 = 0, $F26, AH28 + AH29 - ( AH30 * InpC!$F34 ) )</f>
        <v>927500</v>
      </c>
      <c r="AI31" s="2">
        <f ca="1" xml:space="preserve">  IF( AI27 = 0, $F26, AI28 + AI29 - ( AI30 * InpC!$F34 ) )</f>
        <v>993125</v>
      </c>
      <c r="AJ31" s="2">
        <f ca="1" xml:space="preserve">  IF( AJ27 = 0, $F26, AJ28 + AJ29 - ( AJ30 * InpC!$F34 ) )</f>
        <v>1071875</v>
      </c>
      <c r="AK31" s="2">
        <f ca="1" xml:space="preserve">  IF( AK27 = 0, $F26, AK28 + AK29 - ( AK30 * InpC!$F34 ) )</f>
        <v>1156458.3333333333</v>
      </c>
      <c r="AL31" s="2">
        <f ca="1" xml:space="preserve">  IF( AL27 = 0, $F26, AL28 + AL29 - ( AL30 * InpC!$F34 ) )</f>
        <v>1184166.6666666665</v>
      </c>
      <c r="AM31" s="2">
        <f ca="1" xml:space="preserve">  IF( AM27 = 0, $F26, AM28 + AM29 - ( AM30 * InpC!$F34 ) )</f>
        <v>1222083.3333333333</v>
      </c>
      <c r="AN31" s="2">
        <f ca="1" xml:space="preserve">  IF( AN27 = 0, $F26, AN28 + AN29 - ( AN30 * InpC!$F34 ) )</f>
        <v>1262916.6666666665</v>
      </c>
      <c r="AO31" s="2">
        <f ca="1" xml:space="preserve">  IF( AO27 = 0, $F26, AO28 + AO29 - ( AO30 * InpC!$F34 ) )</f>
        <v>1251249.9999999998</v>
      </c>
      <c r="AP31" s="2">
        <f ca="1" xml:space="preserve">  IF( AP27 = 0, $F26, AP28 + AP29 - ( AP30 * InpC!$F34 ) )</f>
        <v>1246874.9999999998</v>
      </c>
      <c r="AQ31" s="2">
        <f ca="1" xml:space="preserve">  IF( AQ27 = 0, $F26, AQ28 + AQ29 - ( AQ30 * InpC!$F34 ) )</f>
        <v>1249791.6666666665</v>
      </c>
      <c r="AR31" s="2">
        <f ca="1" xml:space="preserve">  IF( AR27 = 0, $F26, AR28 + AR29 - ( AR30 * InpC!$F34 ) )</f>
        <v>1274583.3333333333</v>
      </c>
      <c r="AS31" s="2">
        <f ca="1" xml:space="preserve">  IF( AS27 = 0, $F26, AS28 + AS29 - ( AS30 * InpC!$F34 ) )</f>
        <v>1306666.6666666665</v>
      </c>
      <c r="AT31" s="2">
        <f ca="1" xml:space="preserve">  IF( AT27 = 0, $F26, AT28 + AT29 - ( AT30 * InpC!$F34 ) )</f>
        <v>1342927.2918204565</v>
      </c>
      <c r="AU31" s="2">
        <f ca="1" xml:space="preserve">  IF( AU27 = 0, $F26, AU28 + AU29 - ( AU30 * InpC!$F34 ) )</f>
        <v>1396896.1816366129</v>
      </c>
      <c r="AV31" s="2">
        <f ca="1" xml:space="preserve">  IF( AV27 = 0, $F26, AV28 + AV29 - ( AV30 * InpC!$F34 ) )</f>
        <v>1452875.0656791776</v>
      </c>
      <c r="AW31" s="2">
        <f ca="1" xml:space="preserve">  IF( AW27 = 0, $F26, AW28 + AW29 - ( AW30 * InpC!$F34 ) )</f>
        <v>1524266.0425687211</v>
      </c>
      <c r="AX31" s="2">
        <f ca="1" xml:space="preserve">  IF( AX27 = 0, $F26, AX28 + AX29 - ( AX30 * InpC!$F34 ) )</f>
        <v>1595234.304387961</v>
      </c>
      <c r="AY31" s="2">
        <f ca="1" xml:space="preserve">  IF( AY27 = 0, $F26, AY28 + AY29 - ( AY30 * InpC!$F34 ) )</f>
        <v>1679037.2933350091</v>
      </c>
      <c r="AZ31" s="2">
        <f ca="1" xml:space="preserve">  IF( AZ27 = 0, $F26, AZ28 + AZ29 - ( AZ30 * InpC!$F34 ) )</f>
        <v>1781561.9433516257</v>
      </c>
      <c r="BA31" s="2">
        <f ca="1" xml:space="preserve">  IF( BA27 = 0, $F26, BA28 + BA29 - ( BA30 * InpC!$F34 ) )</f>
        <v>1886736.6586250009</v>
      </c>
      <c r="BB31" s="2">
        <f ca="1" xml:space="preserve">  IF( BB27 = 0, $F26, BB28 + BB29 - ( BB30 * InpC!$F34 ) )</f>
        <v>2007568.0133167424</v>
      </c>
      <c r="BC31" s="2">
        <f ca="1" xml:space="preserve">  IF( BC27 = 0, $F26, BC28 + BC29 - ( BC30 * InpC!$F34 ) )</f>
        <v>2135093.8226090488</v>
      </c>
      <c r="BD31" s="2">
        <f ca="1" xml:space="preserve">  IF( BD27 = 0, $F26, BD28 + BD29 - ( BD30 * InpC!$F34 ) )</f>
        <v>2282127.5675056675</v>
      </c>
      <c r="BE31" s="2">
        <f ca="1" xml:space="preserve">  IF( BE27 = 0, $F26, BE28 + BE29 - ( BE30 * InpC!$F34 ) )</f>
        <v>2439502.4881142713</v>
      </c>
      <c r="BF31" s="2">
        <f ca="1" xml:space="preserve">  IF( BF27 = 0, $F26, BF28 + BF29 - ( BF30 * InpC!$F34 ) )</f>
        <v>2581023.6590304547</v>
      </c>
      <c r="BG31" s="2">
        <f ca="1" xml:space="preserve">  IF( BG27 = 0, $F26, BG28 + BG29 - ( BG30 * InpC!$F34 ) )</f>
        <v>2734773.8592713713</v>
      </c>
      <c r="BH31" s="2">
        <f ca="1" xml:space="preserve">  IF( BH27 = 0, $F26, BH28 + BH29 - ( BH30 * InpC!$F34 ) )</f>
        <v>2898523.2146317712</v>
      </c>
      <c r="BI31" s="2">
        <f ca="1" xml:space="preserve">  IF( BI27 = 0, $F26, BI28 + BI29 - ( BI30 * InpC!$F34 ) )</f>
        <v>3084492.5890194611</v>
      </c>
      <c r="BJ31" s="2">
        <f ca="1" xml:space="preserve">  IF( BJ27 = 0, $F26, BJ28 + BJ29 - ( BJ30 * InpC!$F34 ) )</f>
        <v>3219887.3665998778</v>
      </c>
      <c r="BK31" s="2">
        <f ca="1" xml:space="preserve">  IF( BK27 = 0, $F26, BK28 + BK29 - ( BK30 * InpC!$F34 ) )</f>
        <v>3369722.4317692439</v>
      </c>
      <c r="BL31" s="2">
        <f ca="1" xml:space="preserve">  IF( BL27 = 0, $F26, BL28 + BL29 - ( BL30 * InpC!$F34 ) )</f>
        <v>3531188.3190777469</v>
      </c>
      <c r="BM31" s="2">
        <f ca="1" xml:space="preserve">  IF( BM27 = 0, $F26, BM28 + BM29 - ( BM30 * InpC!$F34 ) )</f>
        <v>3652891.8368997667</v>
      </c>
      <c r="BN31" s="2">
        <f ca="1" xml:space="preserve">  IF( BN27 = 0, $F26, BN28 + BN29 - ( BN30 * InpC!$F34 ) )</f>
        <v>3784762.8002251862</v>
      </c>
      <c r="BO31" s="2">
        <f ca="1" xml:space="preserve">  IF( BO27 = 0, $F26, BO28 + BO29 - ( BO30 * InpC!$F34 ) )</f>
        <v>3938043.5060850689</v>
      </c>
      <c r="BP31" s="2">
        <f ca="1" xml:space="preserve">  IF( BP27 = 0, $F26, BP28 + BP29 - ( BP30 * InpC!$F34 ) )</f>
        <v>4101902.5831535766</v>
      </c>
      <c r="BQ31" s="2">
        <f ca="1" xml:space="preserve">  IF( BQ27 = 0, $F26, BQ28 + BQ29 - ( BQ30 * InpC!$F34 ) )</f>
        <v>4294464.8449793877</v>
      </c>
    </row>
    <row r="32" spans="1:69" s="81" customFormat="1">
      <c r="A32" s="63"/>
      <c r="B32" s="63"/>
      <c r="C32" s="88"/>
      <c r="D32" s="90"/>
      <c r="E32" s="33" t="str">
        <f xml:space="preserve"> LEFT($E$31, LEN($E$31) - 3 )</f>
        <v xml:space="preserve">Depreciation </v>
      </c>
      <c r="F32" s="33"/>
      <c r="G32" s="33" t="str">
        <f xml:space="preserve"> G$31</f>
        <v>GBP</v>
      </c>
      <c r="H32" s="33"/>
      <c r="I32" s="33"/>
      <c r="J32" s="11">
        <f t="shared" ref="J32:BQ32" ca="1" si="7" xml:space="preserve"> -1 * J31</f>
        <v>7291.666666666667</v>
      </c>
      <c r="K32" s="11">
        <f t="shared" ca="1" si="7"/>
        <v>7291.666666666667</v>
      </c>
      <c r="L32" s="11">
        <f t="shared" ca="1" si="7"/>
        <v>21875</v>
      </c>
      <c r="M32" s="11">
        <f t="shared" ca="1" si="7"/>
        <v>36458.333333333336</v>
      </c>
      <c r="N32" s="11">
        <f t="shared" ca="1" si="7"/>
        <v>51041.666666666672</v>
      </c>
      <c r="O32" s="11">
        <f t="shared" ca="1" si="7"/>
        <v>36458.333333333336</v>
      </c>
      <c r="P32" s="11">
        <f t="shared" ca="1" si="7"/>
        <v>36458.333333333336</v>
      </c>
      <c r="Q32" s="11">
        <f t="shared" ca="1" si="7"/>
        <v>21875</v>
      </c>
      <c r="R32" s="11">
        <f t="shared" ca="1" si="7"/>
        <v>21875</v>
      </c>
      <c r="S32" s="11">
        <f t="shared" ca="1" si="7"/>
        <v>-7291.6666666666679</v>
      </c>
      <c r="T32" s="11">
        <f t="shared" ca="1" si="7"/>
        <v>-36458.333333333336</v>
      </c>
      <c r="U32" s="11">
        <f t="shared" ca="1" si="7"/>
        <v>-80208.333333333343</v>
      </c>
      <c r="V32" s="11">
        <f t="shared" ca="1" si="7"/>
        <v>-138541.66666666669</v>
      </c>
      <c r="W32" s="11">
        <f t="shared" ca="1" si="7"/>
        <v>-196875.00000000003</v>
      </c>
      <c r="X32" s="11">
        <f t="shared" ca="1" si="7"/>
        <v>-269791.66666666669</v>
      </c>
      <c r="Y32" s="11">
        <f t="shared" ca="1" si="7"/>
        <v>-335416.66666666669</v>
      </c>
      <c r="Z32" s="11">
        <f t="shared" ca="1" si="7"/>
        <v>-401041.66666666669</v>
      </c>
      <c r="AA32" s="11">
        <f t="shared" ca="1" si="7"/>
        <v>-466666.66666666669</v>
      </c>
      <c r="AB32" s="11">
        <f t="shared" ca="1" si="7"/>
        <v>-525000</v>
      </c>
      <c r="AC32" s="11">
        <f t="shared" ca="1" si="7"/>
        <v>-583333.33333333337</v>
      </c>
      <c r="AD32" s="11">
        <f t="shared" ca="1" si="7"/>
        <v>-648958.33333333337</v>
      </c>
      <c r="AE32" s="11">
        <f t="shared" ca="1" si="7"/>
        <v>-714583.33333333337</v>
      </c>
      <c r="AF32" s="11">
        <f t="shared" ca="1" si="7"/>
        <v>-787500</v>
      </c>
      <c r="AG32" s="11">
        <f t="shared" ca="1" si="7"/>
        <v>-867708.33333333337</v>
      </c>
      <c r="AH32" s="11">
        <f t="shared" ca="1" si="7"/>
        <v>-927500</v>
      </c>
      <c r="AI32" s="11">
        <f t="shared" ca="1" si="7"/>
        <v>-993125</v>
      </c>
      <c r="AJ32" s="11">
        <f t="shared" ca="1" si="7"/>
        <v>-1071875</v>
      </c>
      <c r="AK32" s="11">
        <f t="shared" ca="1" si="7"/>
        <v>-1156458.3333333333</v>
      </c>
      <c r="AL32" s="11">
        <f t="shared" ca="1" si="7"/>
        <v>-1184166.6666666665</v>
      </c>
      <c r="AM32" s="11">
        <f t="shared" ca="1" si="7"/>
        <v>-1222083.3333333333</v>
      </c>
      <c r="AN32" s="11">
        <f t="shared" ca="1" si="7"/>
        <v>-1262916.6666666665</v>
      </c>
      <c r="AO32" s="11">
        <f t="shared" ca="1" si="7"/>
        <v>-1251249.9999999998</v>
      </c>
      <c r="AP32" s="11">
        <f t="shared" ca="1" si="7"/>
        <v>-1246874.9999999998</v>
      </c>
      <c r="AQ32" s="11">
        <f t="shared" ca="1" si="7"/>
        <v>-1249791.6666666665</v>
      </c>
      <c r="AR32" s="11">
        <f t="shared" ca="1" si="7"/>
        <v>-1274583.3333333333</v>
      </c>
      <c r="AS32" s="11">
        <f t="shared" ca="1" si="7"/>
        <v>-1306666.6666666665</v>
      </c>
      <c r="AT32" s="11">
        <f t="shared" ca="1" si="7"/>
        <v>-1342927.2918204565</v>
      </c>
      <c r="AU32" s="11">
        <f t="shared" ca="1" si="7"/>
        <v>-1396896.1816366129</v>
      </c>
      <c r="AV32" s="11">
        <f t="shared" ca="1" si="7"/>
        <v>-1452875.0656791776</v>
      </c>
      <c r="AW32" s="11">
        <f t="shared" ca="1" si="7"/>
        <v>-1524266.0425687211</v>
      </c>
      <c r="AX32" s="11">
        <f t="shared" ca="1" si="7"/>
        <v>-1595234.304387961</v>
      </c>
      <c r="AY32" s="11">
        <f t="shared" ca="1" si="7"/>
        <v>-1679037.2933350091</v>
      </c>
      <c r="AZ32" s="11">
        <f t="shared" ca="1" si="7"/>
        <v>-1781561.9433516257</v>
      </c>
      <c r="BA32" s="11">
        <f t="shared" ca="1" si="7"/>
        <v>-1886736.6586250009</v>
      </c>
      <c r="BB32" s="11">
        <f t="shared" ca="1" si="7"/>
        <v>-2007568.0133167424</v>
      </c>
      <c r="BC32" s="11">
        <f t="shared" ca="1" si="7"/>
        <v>-2135093.8226090488</v>
      </c>
      <c r="BD32" s="11">
        <f t="shared" ca="1" si="7"/>
        <v>-2282127.5675056675</v>
      </c>
      <c r="BE32" s="11">
        <f t="shared" ca="1" si="7"/>
        <v>-2439502.4881142713</v>
      </c>
      <c r="BF32" s="11">
        <f t="shared" ca="1" si="7"/>
        <v>-2581023.6590304547</v>
      </c>
      <c r="BG32" s="11">
        <f t="shared" ca="1" si="7"/>
        <v>-2734773.8592713713</v>
      </c>
      <c r="BH32" s="11">
        <f t="shared" ca="1" si="7"/>
        <v>-2898523.2146317712</v>
      </c>
      <c r="BI32" s="11">
        <f t="shared" ca="1" si="7"/>
        <v>-3084492.5890194611</v>
      </c>
      <c r="BJ32" s="11">
        <f t="shared" ca="1" si="7"/>
        <v>-3219887.3665998778</v>
      </c>
      <c r="BK32" s="11">
        <f t="shared" ca="1" si="7"/>
        <v>-3369722.4317692439</v>
      </c>
      <c r="BL32" s="11">
        <f t="shared" ca="1" si="7"/>
        <v>-3531188.3190777469</v>
      </c>
      <c r="BM32" s="11">
        <f t="shared" ca="1" si="7"/>
        <v>-3652891.8368997667</v>
      </c>
      <c r="BN32" s="11">
        <f t="shared" ca="1" si="7"/>
        <v>-3784762.8002251862</v>
      </c>
      <c r="BO32" s="11">
        <f t="shared" ca="1" si="7"/>
        <v>-3938043.5060850689</v>
      </c>
      <c r="BP32" s="11">
        <f t="shared" ca="1" si="7"/>
        <v>-4101902.5831535766</v>
      </c>
      <c r="BQ32" s="11">
        <f t="shared" ca="1" si="7"/>
        <v>-4294464.8449793877</v>
      </c>
    </row>
    <row r="35" spans="2:2">
      <c r="B35" s="25" t="s">
        <v>271</v>
      </c>
    </row>
  </sheetData>
  <conditionalFormatting sqref="F3">
    <cfRule type="cellIs" dxfId="275" priority="13" stopIfTrue="1" operator="notEqual">
      <formula>0</formula>
    </cfRule>
    <cfRule type="cellIs" dxfId="274" priority="14" stopIfTrue="1" operator="equal">
      <formula>""</formula>
    </cfRule>
  </conditionalFormatting>
  <conditionalFormatting sqref="J3:BQ3">
    <cfRule type="cellIs" dxfId="273" priority="11" stopIfTrue="1" operator="equal">
      <formula>"Construction"</formula>
    </cfRule>
    <cfRule type="cellIs" dxfId="272" priority="12" stopIfTrue="1" operator="equal">
      <formula>"Operations"</formula>
    </cfRule>
  </conditionalFormatting>
  <conditionalFormatting sqref="J3:BQ3">
    <cfRule type="cellIs" dxfId="271" priority="10" operator="equal">
      <formula>"Fin Close"</formula>
    </cfRule>
  </conditionalFormatting>
  <conditionalFormatting sqref="J3:BQ3">
    <cfRule type="cellIs" dxfId="270" priority="8" operator="equal">
      <formula>"PPA ext."</formula>
    </cfRule>
    <cfRule type="cellIs" dxfId="269" priority="9" operator="equal">
      <formula>"Delay"</formula>
    </cfRule>
  </conditionalFormatting>
  <conditionalFormatting sqref="F2">
    <cfRule type="cellIs" dxfId="268" priority="1" stopIfTrue="1" operator="notEqual">
      <formula>0</formula>
    </cfRule>
    <cfRule type="cellIs" dxfId="267"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64.88671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Expense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323</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2" t="str">
        <f xml:space="preserve">  InpC!E$84</f>
        <v>Percentage of expense subject to VAT</v>
      </c>
      <c r="F10" s="42">
        <f xml:space="preserve">  InpC!F$84</f>
        <v>0.5</v>
      </c>
      <c r="G10" s="42" t="str">
        <f xml:space="preserve">  InpC!G$84</f>
        <v>%</v>
      </c>
      <c r="M10" s="57"/>
    </row>
    <row r="11" spans="1:69" outlineLevel="1">
      <c r="E11" s="2" t="str">
        <f t="shared" ref="E11:BQ11" si="0" xml:space="preserve">  E$19</f>
        <v>Fixed operating expense POS</v>
      </c>
      <c r="F11" s="2">
        <f t="shared" si="0"/>
        <v>0</v>
      </c>
      <c r="G11" s="2" t="str">
        <f t="shared" si="0"/>
        <v>GBP</v>
      </c>
      <c r="H11" s="2">
        <f t="shared" si="0"/>
        <v>3419071.4947073567</v>
      </c>
      <c r="I11" s="2">
        <f t="shared" si="0"/>
        <v>0</v>
      </c>
      <c r="J11" s="2">
        <f t="shared" si="0"/>
        <v>45000</v>
      </c>
      <c r="K11" s="2">
        <f t="shared" si="0"/>
        <v>45000</v>
      </c>
      <c r="L11" s="2">
        <f t="shared" si="0"/>
        <v>45000</v>
      </c>
      <c r="M11" s="2">
        <f t="shared" si="0"/>
        <v>46094.142332421929</v>
      </c>
      <c r="N11" s="2">
        <f t="shared" si="0"/>
        <v>46094.142332421929</v>
      </c>
      <c r="O11" s="2">
        <f t="shared" si="0"/>
        <v>46094.142332421929</v>
      </c>
      <c r="P11" s="2">
        <f t="shared" si="0"/>
        <v>47214.887941368259</v>
      </c>
      <c r="Q11" s="2">
        <f t="shared" si="0"/>
        <v>47214.887941368259</v>
      </c>
      <c r="R11" s="2">
        <f t="shared" si="0"/>
        <v>47214.887941368259</v>
      </c>
      <c r="S11" s="2">
        <f t="shared" si="0"/>
        <v>48362.883666195121</v>
      </c>
      <c r="T11" s="2">
        <f t="shared" si="0"/>
        <v>48362.883666195121</v>
      </c>
      <c r="U11" s="2">
        <f t="shared" si="0"/>
        <v>48362.883666195121</v>
      </c>
      <c r="V11" s="2">
        <f t="shared" si="0"/>
        <v>49500.000000000007</v>
      </c>
      <c r="W11" s="2">
        <f t="shared" si="0"/>
        <v>49500.000000000007</v>
      </c>
      <c r="X11" s="2">
        <f t="shared" si="0"/>
        <v>49500.000000000007</v>
      </c>
      <c r="Y11" s="2">
        <f t="shared" si="0"/>
        <v>50708.501394855797</v>
      </c>
      <c r="Z11" s="2">
        <f t="shared" si="0"/>
        <v>50708.501394855797</v>
      </c>
      <c r="AA11" s="2">
        <f t="shared" si="0"/>
        <v>50708.501394855797</v>
      </c>
      <c r="AB11" s="2">
        <f t="shared" si="0"/>
        <v>51939.73483307648</v>
      </c>
      <c r="AC11" s="2">
        <f t="shared" si="0"/>
        <v>51939.73483307648</v>
      </c>
      <c r="AD11" s="2">
        <f t="shared" si="0"/>
        <v>51939.73483307648</v>
      </c>
      <c r="AE11" s="2">
        <f t="shared" si="0"/>
        <v>53204.926698313757</v>
      </c>
      <c r="AF11" s="2">
        <f t="shared" si="0"/>
        <v>53204.926698313757</v>
      </c>
      <c r="AG11" s="2">
        <f t="shared" si="0"/>
        <v>53204.926698313757</v>
      </c>
      <c r="AH11" s="2">
        <f t="shared" si="0"/>
        <v>54454.735278236491</v>
      </c>
      <c r="AI11" s="2">
        <f t="shared" si="0"/>
        <v>54454.735278236491</v>
      </c>
      <c r="AJ11" s="2">
        <f t="shared" si="0"/>
        <v>54454.735278236491</v>
      </c>
      <c r="AK11" s="2">
        <f t="shared" si="0"/>
        <v>55777.540025685339</v>
      </c>
      <c r="AL11" s="2">
        <f t="shared" si="0"/>
        <v>55777.540025685339</v>
      </c>
      <c r="AM11" s="2">
        <f t="shared" si="0"/>
        <v>55777.540025685339</v>
      </c>
      <c r="AN11" s="2">
        <f t="shared" si="0"/>
        <v>57132.478110867487</v>
      </c>
      <c r="AO11" s="2">
        <f t="shared" si="0"/>
        <v>57132.478110867487</v>
      </c>
      <c r="AP11" s="2">
        <f t="shared" si="0"/>
        <v>57132.478110867487</v>
      </c>
      <c r="AQ11" s="2">
        <f t="shared" si="0"/>
        <v>58523.837854155172</v>
      </c>
      <c r="AR11" s="2">
        <f t="shared" si="0"/>
        <v>58523.837854155172</v>
      </c>
      <c r="AS11" s="2">
        <f t="shared" si="0"/>
        <v>58523.837854155172</v>
      </c>
      <c r="AT11" s="2">
        <f t="shared" si="0"/>
        <v>59898.907453406857</v>
      </c>
      <c r="AU11" s="2">
        <f t="shared" si="0"/>
        <v>59898.907453406857</v>
      </c>
      <c r="AV11" s="2">
        <f t="shared" si="0"/>
        <v>59898.907453406857</v>
      </c>
      <c r="AW11" s="2">
        <f t="shared" si="0"/>
        <v>61354.297040832636</v>
      </c>
      <c r="AX11" s="2">
        <f t="shared" si="0"/>
        <v>61354.297040832636</v>
      </c>
      <c r="AY11" s="2">
        <f t="shared" si="0"/>
        <v>61354.297040832636</v>
      </c>
      <c r="AZ11" s="2">
        <f t="shared" si="0"/>
        <v>62845.048856740366</v>
      </c>
      <c r="BA11" s="2">
        <f t="shared" si="0"/>
        <v>62845.048856740366</v>
      </c>
      <c r="BB11" s="2">
        <f t="shared" si="0"/>
        <v>62845.048856740366</v>
      </c>
      <c r="BC11" s="2">
        <f t="shared" si="0"/>
        <v>64375.177481826024</v>
      </c>
      <c r="BD11" s="2">
        <f t="shared" si="0"/>
        <v>64375.177481826024</v>
      </c>
      <c r="BE11" s="2">
        <f t="shared" si="0"/>
        <v>64375.177481826024</v>
      </c>
      <c r="BF11" s="2">
        <f t="shared" si="0"/>
        <v>65887.939007352761</v>
      </c>
      <c r="BG11" s="2">
        <f t="shared" si="0"/>
        <v>65887.939007352761</v>
      </c>
      <c r="BH11" s="2">
        <f t="shared" si="0"/>
        <v>65887.939007352761</v>
      </c>
      <c r="BI11" s="2">
        <f t="shared" si="0"/>
        <v>67489.068501538102</v>
      </c>
      <c r="BJ11" s="2">
        <f t="shared" si="0"/>
        <v>67489.068501538102</v>
      </c>
      <c r="BK11" s="2">
        <f t="shared" si="0"/>
        <v>67489.068501538102</v>
      </c>
      <c r="BL11" s="2">
        <f t="shared" si="0"/>
        <v>69129.106720078344</v>
      </c>
      <c r="BM11" s="2">
        <f t="shared" si="0"/>
        <v>69129.106720078344</v>
      </c>
      <c r="BN11" s="2">
        <f t="shared" si="0"/>
        <v>69129.106720078344</v>
      </c>
      <c r="BO11" s="2">
        <f t="shared" si="0"/>
        <v>70797.285038834758</v>
      </c>
      <c r="BP11" s="2">
        <f t="shared" si="0"/>
        <v>70797.285038834758</v>
      </c>
      <c r="BQ11" s="2">
        <f t="shared" si="0"/>
        <v>70797.285038834758</v>
      </c>
    </row>
    <row r="12" spans="1:69" outlineLevel="1">
      <c r="E12" s="2" t="str">
        <f t="shared" ref="E12:BQ12" si="1" xml:space="preserve">  E$26</f>
        <v>Variable Operating expense POS</v>
      </c>
      <c r="F12" s="2">
        <f t="shared" si="1"/>
        <v>0</v>
      </c>
      <c r="G12" s="2" t="str">
        <f t="shared" si="1"/>
        <v>GBP</v>
      </c>
      <c r="H12" s="2">
        <f t="shared" ca="1" si="1"/>
        <v>23745860.732762821</v>
      </c>
      <c r="I12" s="2">
        <f t="shared" si="1"/>
        <v>0</v>
      </c>
      <c r="J12" s="2">
        <f t="shared" ca="1" si="1"/>
        <v>14400</v>
      </c>
      <c r="K12" s="2">
        <f t="shared" ca="1" si="1"/>
        <v>14400</v>
      </c>
      <c r="L12" s="2">
        <f t="shared" ca="1" si="1"/>
        <v>14400</v>
      </c>
      <c r="M12" s="2">
        <f t="shared" ca="1" si="1"/>
        <v>14400</v>
      </c>
      <c r="N12" s="2">
        <f t="shared" ca="1" si="1"/>
        <v>43200</v>
      </c>
      <c r="O12" s="2">
        <f t="shared" ca="1" si="1"/>
        <v>43200</v>
      </c>
      <c r="P12" s="2">
        <f t="shared" ca="1" si="1"/>
        <v>43200</v>
      </c>
      <c r="Q12" s="2">
        <f t="shared" ca="1" si="1"/>
        <v>72000</v>
      </c>
      <c r="R12" s="2">
        <f t="shared" ca="1" si="1"/>
        <v>72000</v>
      </c>
      <c r="S12" s="2">
        <f t="shared" ca="1" si="1"/>
        <v>72000</v>
      </c>
      <c r="T12" s="2">
        <f t="shared" ca="1" si="1"/>
        <v>72000</v>
      </c>
      <c r="U12" s="2">
        <f t="shared" ca="1" si="1"/>
        <v>72000</v>
      </c>
      <c r="V12" s="2">
        <f t="shared" ca="1" si="1"/>
        <v>76281.342793869262</v>
      </c>
      <c r="W12" s="2">
        <f t="shared" ca="1" si="1"/>
        <v>80817.267478274865</v>
      </c>
      <c r="X12" s="2">
        <f t="shared" ca="1" si="1"/>
        <v>85622.912280195917</v>
      </c>
      <c r="Y12" s="2">
        <f t="shared" ca="1" si="1"/>
        <v>90714.315592430881</v>
      </c>
      <c r="Z12" s="2">
        <f t="shared" ca="1" si="1"/>
        <v>96108.469500242471</v>
      </c>
      <c r="AA12" s="2">
        <f t="shared" ca="1" si="1"/>
        <v>101823.37649086284</v>
      </c>
      <c r="AB12" s="2">
        <f t="shared" ca="1" si="1"/>
        <v>107878.10953512107</v>
      </c>
      <c r="AC12" s="2">
        <f t="shared" ca="1" si="1"/>
        <v>114292.87574171038</v>
      </c>
      <c r="AD12" s="2">
        <f t="shared" ca="1" si="1"/>
        <v>121089.08379653491</v>
      </c>
      <c r="AE12" s="2">
        <f t="shared" ca="1" si="1"/>
        <v>128289.41541220888</v>
      </c>
      <c r="AF12" s="2">
        <f t="shared" ca="1" si="1"/>
        <v>135917.90102616389</v>
      </c>
      <c r="AG12" s="2">
        <f t="shared" ca="1" si="1"/>
        <v>144000.00000000006</v>
      </c>
      <c r="AH12" s="2">
        <f t="shared" ca="1" si="1"/>
        <v>165522.68558773852</v>
      </c>
      <c r="AI12" s="2">
        <f t="shared" ca="1" si="1"/>
        <v>174594.53495654973</v>
      </c>
      <c r="AJ12" s="2">
        <f t="shared" ca="1" si="1"/>
        <v>184205.82456039186</v>
      </c>
      <c r="AK12" s="2">
        <f t="shared" ca="1" si="1"/>
        <v>194388.63118486182</v>
      </c>
      <c r="AL12" s="2">
        <f t="shared" ca="1" si="1"/>
        <v>231096.93900048506</v>
      </c>
      <c r="AM12" s="2">
        <f t="shared" ca="1" si="1"/>
        <v>242526.75298172582</v>
      </c>
      <c r="AN12" s="2">
        <f t="shared" ca="1" si="1"/>
        <v>254636.21907024231</v>
      </c>
      <c r="AO12" s="2">
        <f t="shared" ca="1" si="1"/>
        <v>293385.75148342084</v>
      </c>
      <c r="AP12" s="2">
        <f t="shared" ca="1" si="1"/>
        <v>306978.16759306996</v>
      </c>
      <c r="AQ12" s="2">
        <f t="shared" ca="1" si="1"/>
        <v>321378.83082441788</v>
      </c>
      <c r="AR12" s="2">
        <f t="shared" ca="1" si="1"/>
        <v>336635.8020523279</v>
      </c>
      <c r="AS12" s="2">
        <f t="shared" ca="1" si="1"/>
        <v>352800.00000000017</v>
      </c>
      <c r="AT12" s="2">
        <f t="shared" ca="1" si="1"/>
        <v>373778.57968995959</v>
      </c>
      <c r="AU12" s="2">
        <f t="shared" ca="1" si="1"/>
        <v>396004.61064354703</v>
      </c>
      <c r="AV12" s="2">
        <f t="shared" ca="1" si="1"/>
        <v>419552.27017296036</v>
      </c>
      <c r="AW12" s="2">
        <f t="shared" ca="1" si="1"/>
        <v>444500.14640291157</v>
      </c>
      <c r="AX12" s="2">
        <f t="shared" ca="1" si="1"/>
        <v>470931.5005511886</v>
      </c>
      <c r="AY12" s="2">
        <f t="shared" ca="1" si="1"/>
        <v>498934.54480522836</v>
      </c>
      <c r="AZ12" s="2">
        <f t="shared" ca="1" si="1"/>
        <v>528602.73672209377</v>
      </c>
      <c r="BA12" s="2">
        <f t="shared" ca="1" si="1"/>
        <v>560035.09113438136</v>
      </c>
      <c r="BB12" s="2">
        <f t="shared" ca="1" si="1"/>
        <v>593336.5106030216</v>
      </c>
      <c r="BC12" s="2">
        <f t="shared" ca="1" si="1"/>
        <v>628618.13551982399</v>
      </c>
      <c r="BD12" s="2">
        <f t="shared" ca="1" si="1"/>
        <v>665997.71502820356</v>
      </c>
      <c r="BE12" s="2">
        <f t="shared" ca="1" si="1"/>
        <v>705600.00000000081</v>
      </c>
      <c r="BF12" s="2">
        <f t="shared" ca="1" si="1"/>
        <v>747557.15937991964</v>
      </c>
      <c r="BG12" s="2">
        <f t="shared" ca="1" si="1"/>
        <v>792009.22128709464</v>
      </c>
      <c r="BH12" s="2">
        <f t="shared" ca="1" si="1"/>
        <v>839104.54034592106</v>
      </c>
      <c r="BI12" s="2">
        <f t="shared" ca="1" si="1"/>
        <v>889000.29280582373</v>
      </c>
      <c r="BJ12" s="2">
        <f t="shared" ca="1" si="1"/>
        <v>941863.00110237754</v>
      </c>
      <c r="BK12" s="2">
        <f t="shared" ca="1" si="1"/>
        <v>997869.08961045707</v>
      </c>
      <c r="BL12" s="2">
        <f t="shared" ca="1" si="1"/>
        <v>1057205.473444188</v>
      </c>
      <c r="BM12" s="2">
        <f t="shared" ca="1" si="1"/>
        <v>1120070.1822687634</v>
      </c>
      <c r="BN12" s="2">
        <f t="shared" ca="1" si="1"/>
        <v>1186673.0212060437</v>
      </c>
      <c r="BO12" s="2">
        <f t="shared" ca="1" si="1"/>
        <v>1257236.2710396487</v>
      </c>
      <c r="BP12" s="2">
        <f t="shared" ca="1" si="1"/>
        <v>1331995.430056408</v>
      </c>
      <c r="BQ12" s="2">
        <f t="shared" ca="1" si="1"/>
        <v>1411200.0000000023</v>
      </c>
    </row>
    <row r="13" spans="1:69" outlineLevel="1">
      <c r="A13" s="34"/>
      <c r="B13" s="34"/>
      <c r="C13" s="64"/>
      <c r="D13" s="65"/>
      <c r="E13" s="21" t="s">
        <v>323</v>
      </c>
      <c r="F13" s="21"/>
      <c r="G13" s="21" t="s">
        <v>258</v>
      </c>
      <c r="H13" s="3">
        <f ca="1" xml:space="preserve"> SUM( J13:BQ13 )</f>
        <v>2716493.2227470176</v>
      </c>
      <c r="I13" s="21"/>
      <c r="J13" s="3">
        <f t="shared" ref="J13:BQ13" ca="1" si="2" xml:space="preserve">  $F9 * $F10 * ( J11 + J12 )</f>
        <v>5940</v>
      </c>
      <c r="K13" s="3">
        <f t="shared" ca="1" si="2"/>
        <v>5940</v>
      </c>
      <c r="L13" s="3">
        <f t="shared" ca="1" si="2"/>
        <v>5940</v>
      </c>
      <c r="M13" s="3">
        <f t="shared" ca="1" si="2"/>
        <v>6049.4142332421934</v>
      </c>
      <c r="N13" s="3">
        <f t="shared" ca="1" si="2"/>
        <v>8929.4142332421943</v>
      </c>
      <c r="O13" s="3">
        <f t="shared" ca="1" si="2"/>
        <v>8929.4142332421943</v>
      </c>
      <c r="P13" s="3">
        <f t="shared" ca="1" si="2"/>
        <v>9041.488794136827</v>
      </c>
      <c r="Q13" s="3">
        <f t="shared" ca="1" si="2"/>
        <v>11921.488794136827</v>
      </c>
      <c r="R13" s="3">
        <f t="shared" ca="1" si="2"/>
        <v>11921.488794136827</v>
      </c>
      <c r="S13" s="3">
        <f t="shared" ca="1" si="2"/>
        <v>12036.288366619512</v>
      </c>
      <c r="T13" s="3">
        <f t="shared" ca="1" si="2"/>
        <v>12036.288366619512</v>
      </c>
      <c r="U13" s="3">
        <f t="shared" ca="1" si="2"/>
        <v>12036.288366619512</v>
      </c>
      <c r="V13" s="3">
        <f t="shared" ca="1" si="2"/>
        <v>12578.134279386926</v>
      </c>
      <c r="W13" s="3">
        <f t="shared" ca="1" si="2"/>
        <v>13031.726747827488</v>
      </c>
      <c r="X13" s="3">
        <f t="shared" ca="1" si="2"/>
        <v>13512.291228019592</v>
      </c>
      <c r="Y13" s="3">
        <f t="shared" ca="1" si="2"/>
        <v>14142.281698728668</v>
      </c>
      <c r="Z13" s="3">
        <f t="shared" ca="1" si="2"/>
        <v>14681.697089509827</v>
      </c>
      <c r="AA13" s="3">
        <f t="shared" ca="1" si="2"/>
        <v>15253.187788571864</v>
      </c>
      <c r="AB13" s="3">
        <f t="shared" ca="1" si="2"/>
        <v>15981.784436819755</v>
      </c>
      <c r="AC13" s="3">
        <f t="shared" ca="1" si="2"/>
        <v>16623.261057478685</v>
      </c>
      <c r="AD13" s="3">
        <f t="shared" ca="1" si="2"/>
        <v>17302.881862961141</v>
      </c>
      <c r="AE13" s="3">
        <f t="shared" ca="1" si="2"/>
        <v>18149.434211052267</v>
      </c>
      <c r="AF13" s="3">
        <f t="shared" ca="1" si="2"/>
        <v>18912.282772447765</v>
      </c>
      <c r="AG13" s="3">
        <f t="shared" ca="1" si="2"/>
        <v>19720.492669831383</v>
      </c>
      <c r="AH13" s="3">
        <f t="shared" ca="1" si="2"/>
        <v>21997.742086597504</v>
      </c>
      <c r="AI13" s="3">
        <f t="shared" ca="1" si="2"/>
        <v>22904.927023478624</v>
      </c>
      <c r="AJ13" s="3">
        <f t="shared" ca="1" si="2"/>
        <v>23866.055983862836</v>
      </c>
      <c r="AK13" s="3">
        <f t="shared" ca="1" si="2"/>
        <v>25016.617121054718</v>
      </c>
      <c r="AL13" s="3">
        <f t="shared" ca="1" si="2"/>
        <v>28687.447902617041</v>
      </c>
      <c r="AM13" s="3">
        <f t="shared" ca="1" si="2"/>
        <v>29830.429300741118</v>
      </c>
      <c r="AN13" s="3">
        <f t="shared" ca="1" si="2"/>
        <v>31176.869718110982</v>
      </c>
      <c r="AO13" s="3">
        <f t="shared" ca="1" si="2"/>
        <v>35051.822959428835</v>
      </c>
      <c r="AP13" s="3">
        <f t="shared" ca="1" si="2"/>
        <v>36411.064570393748</v>
      </c>
      <c r="AQ13" s="3">
        <f t="shared" ca="1" si="2"/>
        <v>37990.266867857303</v>
      </c>
      <c r="AR13" s="3">
        <f t="shared" ca="1" si="2"/>
        <v>39515.963990648306</v>
      </c>
      <c r="AS13" s="3">
        <f t="shared" ca="1" si="2"/>
        <v>41132.383785415535</v>
      </c>
      <c r="AT13" s="3">
        <f t="shared" ca="1" si="2"/>
        <v>43367.748714336645</v>
      </c>
      <c r="AU13" s="3">
        <f t="shared" ca="1" si="2"/>
        <v>45590.351809695392</v>
      </c>
      <c r="AV13" s="3">
        <f t="shared" ca="1" si="2"/>
        <v>47945.117762636721</v>
      </c>
      <c r="AW13" s="3">
        <f t="shared" ca="1" si="2"/>
        <v>50585.444344374424</v>
      </c>
      <c r="AX13" s="3">
        <f t="shared" ca="1" si="2"/>
        <v>53228.579759202134</v>
      </c>
      <c r="AY13" s="3">
        <f t="shared" ca="1" si="2"/>
        <v>56028.884184606097</v>
      </c>
      <c r="AZ13" s="3">
        <f t="shared" ca="1" si="2"/>
        <v>59144.778557883415</v>
      </c>
      <c r="BA13" s="3">
        <f t="shared" ca="1" si="2"/>
        <v>62288.013999112176</v>
      </c>
      <c r="BB13" s="3">
        <f t="shared" ca="1" si="2"/>
        <v>65618.155945976192</v>
      </c>
      <c r="BC13" s="3">
        <f t="shared" ca="1" si="2"/>
        <v>69299.331300165009</v>
      </c>
      <c r="BD13" s="3">
        <f t="shared" ca="1" si="2"/>
        <v>73037.289251002963</v>
      </c>
      <c r="BE13" s="3">
        <f t="shared" ca="1" si="2"/>
        <v>76997.517748182683</v>
      </c>
      <c r="BF13" s="3">
        <f t="shared" ca="1" si="2"/>
        <v>81344.509838727245</v>
      </c>
      <c r="BG13" s="3">
        <f t="shared" ca="1" si="2"/>
        <v>85789.716029444753</v>
      </c>
      <c r="BH13" s="3">
        <f t="shared" ca="1" si="2"/>
        <v>90499.247935327396</v>
      </c>
      <c r="BI13" s="3">
        <f t="shared" ca="1" si="2"/>
        <v>95648.936130736198</v>
      </c>
      <c r="BJ13" s="3">
        <f t="shared" ca="1" si="2"/>
        <v>100935.20696039157</v>
      </c>
      <c r="BK13" s="3">
        <f t="shared" ca="1" si="2"/>
        <v>106535.81581119951</v>
      </c>
      <c r="BL13" s="3">
        <f t="shared" ca="1" si="2"/>
        <v>112633.45801642664</v>
      </c>
      <c r="BM13" s="3">
        <f t="shared" ca="1" si="2"/>
        <v>118919.92889888417</v>
      </c>
      <c r="BN13" s="3">
        <f t="shared" ca="1" si="2"/>
        <v>125580.2127926122</v>
      </c>
      <c r="BO13" s="3">
        <f t="shared" ca="1" si="2"/>
        <v>132803.35560784835</v>
      </c>
      <c r="BP13" s="3">
        <f t="shared" ca="1" si="2"/>
        <v>140279.27150952429</v>
      </c>
      <c r="BQ13" s="3">
        <f t="shared" ca="1" si="2"/>
        <v>148199.7285038837</v>
      </c>
    </row>
    <row r="16" spans="1:69">
      <c r="B16" s="25" t="s">
        <v>263</v>
      </c>
    </row>
    <row r="17" spans="1:69" outlineLevel="1">
      <c r="A17" s="18"/>
      <c r="B17" s="18"/>
      <c r="C17" s="28"/>
      <c r="D17" s="27"/>
      <c r="E17" s="4" t="str">
        <f xml:space="preserve">  InpC!E$25</f>
        <v>Fixed operating cost base</v>
      </c>
      <c r="F17" s="4">
        <f xml:space="preserve">  InpC!F$25</f>
        <v>45000</v>
      </c>
      <c r="G17" s="4" t="str">
        <f xml:space="preserve">  InpC!G$25</f>
        <v>GBP</v>
      </c>
      <c r="M17" s="2"/>
    </row>
    <row r="18" spans="1:69" outlineLevel="1">
      <c r="A18" s="18"/>
      <c r="B18" s="18"/>
      <c r="C18" s="28"/>
      <c r="D18" s="27"/>
      <c r="E18" s="35" t="str">
        <f xml:space="preserve">  Time!E$226</f>
        <v>Fixed Operating Cost Growth Rate escalation indexation factor</v>
      </c>
      <c r="F18" s="35">
        <f xml:space="preserve">  Time!F$226</f>
        <v>0</v>
      </c>
      <c r="G18" s="35" t="str">
        <f xml:space="preserve">  Time!G$226</f>
        <v>index</v>
      </c>
      <c r="H18" s="35">
        <f xml:space="preserve">  Time!H$226</f>
        <v>0</v>
      </c>
      <c r="I18" s="35">
        <f xml:space="preserve">  Time!I$226</f>
        <v>0</v>
      </c>
      <c r="J18" s="35">
        <f xml:space="preserve">  Time!J$226</f>
        <v>1</v>
      </c>
      <c r="K18" s="35">
        <f xml:space="preserve">  Time!K$226</f>
        <v>1</v>
      </c>
      <c r="L18" s="35">
        <f xml:space="preserve">  Time!L$226</f>
        <v>1</v>
      </c>
      <c r="M18" s="35">
        <f xml:space="preserve">  Time!M$226</f>
        <v>1.0243142740538207</v>
      </c>
      <c r="N18" s="35">
        <f xml:space="preserve">  Time!N$226</f>
        <v>1.0243142740538207</v>
      </c>
      <c r="O18" s="35">
        <f xml:space="preserve">  Time!O$226</f>
        <v>1.0243142740538207</v>
      </c>
      <c r="P18" s="35">
        <f xml:space="preserve">  Time!P$226</f>
        <v>1.0492197320304057</v>
      </c>
      <c r="Q18" s="35">
        <f xml:space="preserve">  Time!Q$226</f>
        <v>1.0492197320304057</v>
      </c>
      <c r="R18" s="35">
        <f xml:space="preserve">  Time!R$226</f>
        <v>1.0492197320304057</v>
      </c>
      <c r="S18" s="35">
        <f xml:space="preserve">  Time!S$226</f>
        <v>1.0747307481376693</v>
      </c>
      <c r="T18" s="35">
        <f xml:space="preserve">  Time!T$226</f>
        <v>1.0747307481376693</v>
      </c>
      <c r="U18" s="35">
        <f xml:space="preserve">  Time!U$226</f>
        <v>1.0747307481376693</v>
      </c>
      <c r="V18" s="35">
        <f xml:space="preserve">  Time!V$226</f>
        <v>1.1000000000000001</v>
      </c>
      <c r="W18" s="35">
        <f xml:space="preserve">  Time!W$226</f>
        <v>1.1000000000000001</v>
      </c>
      <c r="X18" s="35">
        <f xml:space="preserve">  Time!X$226</f>
        <v>1.1000000000000001</v>
      </c>
      <c r="Y18" s="35">
        <f xml:space="preserve">  Time!Y$226</f>
        <v>1.1268555865523511</v>
      </c>
      <c r="Z18" s="35">
        <f xml:space="preserve">  Time!Z$226</f>
        <v>1.1268555865523511</v>
      </c>
      <c r="AA18" s="35">
        <f xml:space="preserve">  Time!AA$226</f>
        <v>1.1268555865523511</v>
      </c>
      <c r="AB18" s="35">
        <f xml:space="preserve">  Time!AB$226</f>
        <v>1.1542163296239218</v>
      </c>
      <c r="AC18" s="35">
        <f xml:space="preserve">  Time!AC$226</f>
        <v>1.1542163296239218</v>
      </c>
      <c r="AD18" s="35">
        <f xml:space="preserve">  Time!AD$226</f>
        <v>1.1542163296239218</v>
      </c>
      <c r="AE18" s="35">
        <f xml:space="preserve">  Time!AE$226</f>
        <v>1.1823317044069723</v>
      </c>
      <c r="AF18" s="35">
        <f xml:space="preserve">  Time!AF$226</f>
        <v>1.1823317044069723</v>
      </c>
      <c r="AG18" s="35">
        <f xml:space="preserve">  Time!AG$226</f>
        <v>1.1823317044069723</v>
      </c>
      <c r="AH18" s="35">
        <f xml:space="preserve">  Time!AH$226</f>
        <v>1.2101052284052554</v>
      </c>
      <c r="AI18" s="35">
        <f xml:space="preserve">  Time!AI$226</f>
        <v>1.2101052284052554</v>
      </c>
      <c r="AJ18" s="35">
        <f xml:space="preserve">  Time!AJ$226</f>
        <v>1.2101052284052554</v>
      </c>
      <c r="AK18" s="35">
        <f xml:space="preserve">  Time!AK$226</f>
        <v>1.2395008894596742</v>
      </c>
      <c r="AL18" s="35">
        <f xml:space="preserve">  Time!AL$226</f>
        <v>1.2395008894596742</v>
      </c>
      <c r="AM18" s="35">
        <f xml:space="preserve">  Time!AM$226</f>
        <v>1.2395008894596742</v>
      </c>
      <c r="AN18" s="35">
        <f xml:space="preserve">  Time!AN$226</f>
        <v>1.2696106246859442</v>
      </c>
      <c r="AO18" s="35">
        <f xml:space="preserve">  Time!AO$226</f>
        <v>1.2696106246859442</v>
      </c>
      <c r="AP18" s="35">
        <f xml:space="preserve">  Time!AP$226</f>
        <v>1.2696106246859442</v>
      </c>
      <c r="AQ18" s="35">
        <f xml:space="preserve">  Time!AQ$226</f>
        <v>1.3005297300923371</v>
      </c>
      <c r="AR18" s="35">
        <f xml:space="preserve">  Time!AR$226</f>
        <v>1.3005297300923371</v>
      </c>
      <c r="AS18" s="35">
        <f xml:space="preserve">  Time!AS$226</f>
        <v>1.3005297300923371</v>
      </c>
      <c r="AT18" s="35">
        <f xml:space="preserve">  Time!AT$226</f>
        <v>1.3310868322979301</v>
      </c>
      <c r="AU18" s="35">
        <f xml:space="preserve">  Time!AU$226</f>
        <v>1.3310868322979301</v>
      </c>
      <c r="AV18" s="35">
        <f xml:space="preserve">  Time!AV$226</f>
        <v>1.3310868322979301</v>
      </c>
      <c r="AW18" s="35">
        <f xml:space="preserve">  Time!AW$226</f>
        <v>1.3634288231296141</v>
      </c>
      <c r="AX18" s="35">
        <f xml:space="preserve">  Time!AX$226</f>
        <v>1.3634288231296141</v>
      </c>
      <c r="AY18" s="35">
        <f xml:space="preserve">  Time!AY$226</f>
        <v>1.3634288231296141</v>
      </c>
      <c r="AZ18" s="35">
        <f xml:space="preserve">  Time!AZ$226</f>
        <v>1.396556641260897</v>
      </c>
      <c r="BA18" s="35">
        <f xml:space="preserve">  Time!BA$226</f>
        <v>1.396556641260897</v>
      </c>
      <c r="BB18" s="35">
        <f xml:space="preserve">  Time!BB$226</f>
        <v>1.396556641260897</v>
      </c>
      <c r="BC18" s="35">
        <f xml:space="preserve">  Time!BC$226</f>
        <v>1.4305594995961339</v>
      </c>
      <c r="BD18" s="35">
        <f xml:space="preserve">  Time!BD$226</f>
        <v>1.4305594995961339</v>
      </c>
      <c r="BE18" s="35">
        <f xml:space="preserve">  Time!BE$226</f>
        <v>1.4305594995961339</v>
      </c>
      <c r="BF18" s="35">
        <f xml:space="preserve">  Time!BF$226</f>
        <v>1.4641764223856168</v>
      </c>
      <c r="BG18" s="35">
        <f xml:space="preserve">  Time!BG$226</f>
        <v>1.4641764223856168</v>
      </c>
      <c r="BH18" s="35">
        <f xml:space="preserve">  Time!BH$226</f>
        <v>1.4641764223856168</v>
      </c>
      <c r="BI18" s="35">
        <f xml:space="preserve">  Time!BI$226</f>
        <v>1.4997570778119578</v>
      </c>
      <c r="BJ18" s="35">
        <f xml:space="preserve">  Time!BJ$226</f>
        <v>1.4997570778119578</v>
      </c>
      <c r="BK18" s="35">
        <f xml:space="preserve">  Time!BK$226</f>
        <v>1.4997570778119578</v>
      </c>
      <c r="BL18" s="35">
        <f xml:space="preserve">  Time!BL$226</f>
        <v>1.5362023715572966</v>
      </c>
      <c r="BM18" s="35">
        <f xml:space="preserve">  Time!BM$226</f>
        <v>1.5362023715572966</v>
      </c>
      <c r="BN18" s="35">
        <f xml:space="preserve">  Time!BN$226</f>
        <v>1.5362023715572966</v>
      </c>
      <c r="BO18" s="35">
        <f xml:space="preserve">  Time!BO$226</f>
        <v>1.5732730008629947</v>
      </c>
      <c r="BP18" s="35">
        <f xml:space="preserve">  Time!BP$226</f>
        <v>1.5732730008629947</v>
      </c>
      <c r="BQ18" s="35">
        <f xml:space="preserve">  Time!BQ$226</f>
        <v>1.5732730008629947</v>
      </c>
    </row>
    <row r="19" spans="1:69" outlineLevel="1">
      <c r="A19" s="34"/>
      <c r="B19" s="34"/>
      <c r="C19" s="64"/>
      <c r="D19" s="65"/>
      <c r="E19" s="21" t="s">
        <v>88</v>
      </c>
      <c r="F19" s="21"/>
      <c r="G19" s="21" t="s">
        <v>258</v>
      </c>
      <c r="H19" s="3">
        <f t="shared" ref="H19:H20" si="3" xml:space="preserve"> SUM( J19:BQ19 )</f>
        <v>3419071.4947073567</v>
      </c>
      <c r="I19" s="21"/>
      <c r="J19" s="3">
        <f t="shared" ref="J19:BQ19" si="4" xml:space="preserve">  J18 * $F17</f>
        <v>45000</v>
      </c>
      <c r="K19" s="3">
        <f t="shared" si="4"/>
        <v>45000</v>
      </c>
      <c r="L19" s="3">
        <f t="shared" si="4"/>
        <v>45000</v>
      </c>
      <c r="M19" s="3">
        <f t="shared" si="4"/>
        <v>46094.142332421929</v>
      </c>
      <c r="N19" s="3">
        <f t="shared" si="4"/>
        <v>46094.142332421929</v>
      </c>
      <c r="O19" s="3">
        <f t="shared" si="4"/>
        <v>46094.142332421929</v>
      </c>
      <c r="P19" s="3">
        <f t="shared" si="4"/>
        <v>47214.887941368259</v>
      </c>
      <c r="Q19" s="3">
        <f t="shared" si="4"/>
        <v>47214.887941368259</v>
      </c>
      <c r="R19" s="3">
        <f t="shared" si="4"/>
        <v>47214.887941368259</v>
      </c>
      <c r="S19" s="3">
        <f t="shared" si="4"/>
        <v>48362.883666195121</v>
      </c>
      <c r="T19" s="3">
        <f t="shared" si="4"/>
        <v>48362.883666195121</v>
      </c>
      <c r="U19" s="3">
        <f t="shared" si="4"/>
        <v>48362.883666195121</v>
      </c>
      <c r="V19" s="3">
        <f t="shared" si="4"/>
        <v>49500.000000000007</v>
      </c>
      <c r="W19" s="3">
        <f t="shared" si="4"/>
        <v>49500.000000000007</v>
      </c>
      <c r="X19" s="3">
        <f t="shared" si="4"/>
        <v>49500.000000000007</v>
      </c>
      <c r="Y19" s="3">
        <f t="shared" si="4"/>
        <v>50708.501394855797</v>
      </c>
      <c r="Z19" s="3">
        <f t="shared" si="4"/>
        <v>50708.501394855797</v>
      </c>
      <c r="AA19" s="3">
        <f t="shared" si="4"/>
        <v>50708.501394855797</v>
      </c>
      <c r="AB19" s="3">
        <f t="shared" si="4"/>
        <v>51939.73483307648</v>
      </c>
      <c r="AC19" s="3">
        <f t="shared" si="4"/>
        <v>51939.73483307648</v>
      </c>
      <c r="AD19" s="3">
        <f t="shared" si="4"/>
        <v>51939.73483307648</v>
      </c>
      <c r="AE19" s="3">
        <f t="shared" si="4"/>
        <v>53204.926698313757</v>
      </c>
      <c r="AF19" s="3">
        <f t="shared" si="4"/>
        <v>53204.926698313757</v>
      </c>
      <c r="AG19" s="3">
        <f t="shared" si="4"/>
        <v>53204.926698313757</v>
      </c>
      <c r="AH19" s="3">
        <f t="shared" si="4"/>
        <v>54454.735278236491</v>
      </c>
      <c r="AI19" s="3">
        <f t="shared" si="4"/>
        <v>54454.735278236491</v>
      </c>
      <c r="AJ19" s="3">
        <f t="shared" si="4"/>
        <v>54454.735278236491</v>
      </c>
      <c r="AK19" s="3">
        <f t="shared" si="4"/>
        <v>55777.540025685339</v>
      </c>
      <c r="AL19" s="3">
        <f t="shared" si="4"/>
        <v>55777.540025685339</v>
      </c>
      <c r="AM19" s="3">
        <f t="shared" si="4"/>
        <v>55777.540025685339</v>
      </c>
      <c r="AN19" s="3">
        <f t="shared" si="4"/>
        <v>57132.478110867487</v>
      </c>
      <c r="AO19" s="3">
        <f t="shared" si="4"/>
        <v>57132.478110867487</v>
      </c>
      <c r="AP19" s="3">
        <f t="shared" si="4"/>
        <v>57132.478110867487</v>
      </c>
      <c r="AQ19" s="3">
        <f t="shared" si="4"/>
        <v>58523.837854155172</v>
      </c>
      <c r="AR19" s="3">
        <f t="shared" si="4"/>
        <v>58523.837854155172</v>
      </c>
      <c r="AS19" s="3">
        <f t="shared" si="4"/>
        <v>58523.837854155172</v>
      </c>
      <c r="AT19" s="3">
        <f t="shared" si="4"/>
        <v>59898.907453406857</v>
      </c>
      <c r="AU19" s="3">
        <f t="shared" si="4"/>
        <v>59898.907453406857</v>
      </c>
      <c r="AV19" s="3">
        <f t="shared" si="4"/>
        <v>59898.907453406857</v>
      </c>
      <c r="AW19" s="3">
        <f t="shared" si="4"/>
        <v>61354.297040832636</v>
      </c>
      <c r="AX19" s="3">
        <f t="shared" si="4"/>
        <v>61354.297040832636</v>
      </c>
      <c r="AY19" s="3">
        <f t="shared" si="4"/>
        <v>61354.297040832636</v>
      </c>
      <c r="AZ19" s="3">
        <f t="shared" si="4"/>
        <v>62845.048856740366</v>
      </c>
      <c r="BA19" s="3">
        <f t="shared" si="4"/>
        <v>62845.048856740366</v>
      </c>
      <c r="BB19" s="3">
        <f t="shared" si="4"/>
        <v>62845.048856740366</v>
      </c>
      <c r="BC19" s="3">
        <f t="shared" si="4"/>
        <v>64375.177481826024</v>
      </c>
      <c r="BD19" s="3">
        <f t="shared" si="4"/>
        <v>64375.177481826024</v>
      </c>
      <c r="BE19" s="3">
        <f t="shared" si="4"/>
        <v>64375.177481826024</v>
      </c>
      <c r="BF19" s="3">
        <f t="shared" si="4"/>
        <v>65887.939007352761</v>
      </c>
      <c r="BG19" s="3">
        <f t="shared" si="4"/>
        <v>65887.939007352761</v>
      </c>
      <c r="BH19" s="3">
        <f t="shared" si="4"/>
        <v>65887.939007352761</v>
      </c>
      <c r="BI19" s="3">
        <f t="shared" si="4"/>
        <v>67489.068501538102</v>
      </c>
      <c r="BJ19" s="3">
        <f t="shared" si="4"/>
        <v>67489.068501538102</v>
      </c>
      <c r="BK19" s="3">
        <f t="shared" si="4"/>
        <v>67489.068501538102</v>
      </c>
      <c r="BL19" s="3">
        <f t="shared" si="4"/>
        <v>69129.106720078344</v>
      </c>
      <c r="BM19" s="3">
        <f t="shared" si="4"/>
        <v>69129.106720078344</v>
      </c>
      <c r="BN19" s="3">
        <f t="shared" si="4"/>
        <v>69129.106720078344</v>
      </c>
      <c r="BO19" s="3">
        <f t="shared" si="4"/>
        <v>70797.285038834758</v>
      </c>
      <c r="BP19" s="3">
        <f t="shared" si="4"/>
        <v>70797.285038834758</v>
      </c>
      <c r="BQ19" s="3">
        <f t="shared" si="4"/>
        <v>70797.285038834758</v>
      </c>
    </row>
    <row r="20" spans="1:69" outlineLevel="1">
      <c r="A20" s="34"/>
      <c r="B20" s="34"/>
      <c r="C20" s="64"/>
      <c r="D20" s="65"/>
      <c r="E20" s="21" t="str">
        <f xml:space="preserve"> LEFT($E$19, LEN($E$19) - 3 )</f>
        <v xml:space="preserve">Fixed operating expense </v>
      </c>
      <c r="F20" s="21"/>
      <c r="G20" s="21" t="str">
        <f xml:space="preserve"> G$19</f>
        <v>GBP</v>
      </c>
      <c r="H20" s="3">
        <f t="shared" si="3"/>
        <v>-3419071.4947073567</v>
      </c>
      <c r="I20" s="21"/>
      <c r="J20" s="3">
        <f t="shared" ref="J20:BQ20" si="5" xml:space="preserve"> -1 * J19</f>
        <v>-45000</v>
      </c>
      <c r="K20" s="3">
        <f t="shared" si="5"/>
        <v>-45000</v>
      </c>
      <c r="L20" s="3">
        <f t="shared" si="5"/>
        <v>-45000</v>
      </c>
      <c r="M20" s="3">
        <f t="shared" si="5"/>
        <v>-46094.142332421929</v>
      </c>
      <c r="N20" s="3">
        <f t="shared" si="5"/>
        <v>-46094.142332421929</v>
      </c>
      <c r="O20" s="3">
        <f t="shared" si="5"/>
        <v>-46094.142332421929</v>
      </c>
      <c r="P20" s="3">
        <f t="shared" si="5"/>
        <v>-47214.887941368259</v>
      </c>
      <c r="Q20" s="3">
        <f t="shared" si="5"/>
        <v>-47214.887941368259</v>
      </c>
      <c r="R20" s="3">
        <f t="shared" si="5"/>
        <v>-47214.887941368259</v>
      </c>
      <c r="S20" s="3">
        <f t="shared" si="5"/>
        <v>-48362.883666195121</v>
      </c>
      <c r="T20" s="3">
        <f t="shared" si="5"/>
        <v>-48362.883666195121</v>
      </c>
      <c r="U20" s="3">
        <f t="shared" si="5"/>
        <v>-48362.883666195121</v>
      </c>
      <c r="V20" s="3">
        <f t="shared" si="5"/>
        <v>-49500.000000000007</v>
      </c>
      <c r="W20" s="3">
        <f t="shared" si="5"/>
        <v>-49500.000000000007</v>
      </c>
      <c r="X20" s="3">
        <f t="shared" si="5"/>
        <v>-49500.000000000007</v>
      </c>
      <c r="Y20" s="3">
        <f t="shared" si="5"/>
        <v>-50708.501394855797</v>
      </c>
      <c r="Z20" s="3">
        <f t="shared" si="5"/>
        <v>-50708.501394855797</v>
      </c>
      <c r="AA20" s="3">
        <f t="shared" si="5"/>
        <v>-50708.501394855797</v>
      </c>
      <c r="AB20" s="3">
        <f t="shared" si="5"/>
        <v>-51939.73483307648</v>
      </c>
      <c r="AC20" s="3">
        <f t="shared" si="5"/>
        <v>-51939.73483307648</v>
      </c>
      <c r="AD20" s="3">
        <f t="shared" si="5"/>
        <v>-51939.73483307648</v>
      </c>
      <c r="AE20" s="3">
        <f t="shared" si="5"/>
        <v>-53204.926698313757</v>
      </c>
      <c r="AF20" s="3">
        <f t="shared" si="5"/>
        <v>-53204.926698313757</v>
      </c>
      <c r="AG20" s="3">
        <f t="shared" si="5"/>
        <v>-53204.926698313757</v>
      </c>
      <c r="AH20" s="3">
        <f t="shared" si="5"/>
        <v>-54454.735278236491</v>
      </c>
      <c r="AI20" s="3">
        <f t="shared" si="5"/>
        <v>-54454.735278236491</v>
      </c>
      <c r="AJ20" s="3">
        <f t="shared" si="5"/>
        <v>-54454.735278236491</v>
      </c>
      <c r="AK20" s="3">
        <f t="shared" si="5"/>
        <v>-55777.540025685339</v>
      </c>
      <c r="AL20" s="3">
        <f t="shared" si="5"/>
        <v>-55777.540025685339</v>
      </c>
      <c r="AM20" s="3">
        <f t="shared" si="5"/>
        <v>-55777.540025685339</v>
      </c>
      <c r="AN20" s="3">
        <f t="shared" si="5"/>
        <v>-57132.478110867487</v>
      </c>
      <c r="AO20" s="3">
        <f t="shared" si="5"/>
        <v>-57132.478110867487</v>
      </c>
      <c r="AP20" s="3">
        <f t="shared" si="5"/>
        <v>-57132.478110867487</v>
      </c>
      <c r="AQ20" s="3">
        <f t="shared" si="5"/>
        <v>-58523.837854155172</v>
      </c>
      <c r="AR20" s="3">
        <f t="shared" si="5"/>
        <v>-58523.837854155172</v>
      </c>
      <c r="AS20" s="3">
        <f t="shared" si="5"/>
        <v>-58523.837854155172</v>
      </c>
      <c r="AT20" s="3">
        <f t="shared" si="5"/>
        <v>-59898.907453406857</v>
      </c>
      <c r="AU20" s="3">
        <f t="shared" si="5"/>
        <v>-59898.907453406857</v>
      </c>
      <c r="AV20" s="3">
        <f t="shared" si="5"/>
        <v>-59898.907453406857</v>
      </c>
      <c r="AW20" s="3">
        <f t="shared" si="5"/>
        <v>-61354.297040832636</v>
      </c>
      <c r="AX20" s="3">
        <f t="shared" si="5"/>
        <v>-61354.297040832636</v>
      </c>
      <c r="AY20" s="3">
        <f t="shared" si="5"/>
        <v>-61354.297040832636</v>
      </c>
      <c r="AZ20" s="3">
        <f t="shared" si="5"/>
        <v>-62845.048856740366</v>
      </c>
      <c r="BA20" s="3">
        <f t="shared" si="5"/>
        <v>-62845.048856740366</v>
      </c>
      <c r="BB20" s="3">
        <f t="shared" si="5"/>
        <v>-62845.048856740366</v>
      </c>
      <c r="BC20" s="3">
        <f t="shared" si="5"/>
        <v>-64375.177481826024</v>
      </c>
      <c r="BD20" s="3">
        <f t="shared" si="5"/>
        <v>-64375.177481826024</v>
      </c>
      <c r="BE20" s="3">
        <f t="shared" si="5"/>
        <v>-64375.177481826024</v>
      </c>
      <c r="BF20" s="3">
        <f t="shared" si="5"/>
        <v>-65887.939007352761</v>
      </c>
      <c r="BG20" s="3">
        <f t="shared" si="5"/>
        <v>-65887.939007352761</v>
      </c>
      <c r="BH20" s="3">
        <f t="shared" si="5"/>
        <v>-65887.939007352761</v>
      </c>
      <c r="BI20" s="3">
        <f t="shared" si="5"/>
        <v>-67489.068501538102</v>
      </c>
      <c r="BJ20" s="3">
        <f t="shared" si="5"/>
        <v>-67489.068501538102</v>
      </c>
      <c r="BK20" s="3">
        <f t="shared" si="5"/>
        <v>-67489.068501538102</v>
      </c>
      <c r="BL20" s="3">
        <f t="shared" si="5"/>
        <v>-69129.106720078344</v>
      </c>
      <c r="BM20" s="3">
        <f t="shared" si="5"/>
        <v>-69129.106720078344</v>
      </c>
      <c r="BN20" s="3">
        <f t="shared" si="5"/>
        <v>-69129.106720078344</v>
      </c>
      <c r="BO20" s="3">
        <f t="shared" si="5"/>
        <v>-70797.285038834758</v>
      </c>
      <c r="BP20" s="3">
        <f t="shared" si="5"/>
        <v>-70797.285038834758</v>
      </c>
      <c r="BQ20" s="3">
        <f t="shared" si="5"/>
        <v>-70797.285038834758</v>
      </c>
    </row>
    <row r="23" spans="1:69">
      <c r="B23" s="25" t="s">
        <v>81</v>
      </c>
    </row>
    <row r="24" spans="1:69" outlineLevel="1">
      <c r="A24" s="18"/>
      <c r="B24" s="18"/>
      <c r="C24" s="28"/>
      <c r="D24" s="27"/>
      <c r="E24" s="42" t="str">
        <f xml:space="preserve">  InpC!E$28</f>
        <v>Variable Operating Costs as a % of sales</v>
      </c>
      <c r="F24" s="42">
        <f xml:space="preserve">  InpC!F$28</f>
        <v>0.05</v>
      </c>
      <c r="G24" s="42" t="str">
        <f xml:space="preserve">  InpC!G$28</f>
        <v>%</v>
      </c>
      <c r="M24" s="57"/>
    </row>
    <row r="25" spans="1:69" outlineLevel="1">
      <c r="A25" s="18"/>
      <c r="B25" s="18"/>
      <c r="C25" s="28"/>
      <c r="D25" s="27"/>
      <c r="E25" s="4" t="str">
        <f xml:space="preserve">  Customers!E$43</f>
        <v>Sales</v>
      </c>
      <c r="F25" s="4">
        <f xml:space="preserve">  Customers!F$43</f>
        <v>0</v>
      </c>
      <c r="G25" s="4" t="str">
        <f xml:space="preserve">  Customers!G$43</f>
        <v>GBP</v>
      </c>
      <c r="H25" s="4">
        <f ca="1" xml:space="preserve">  Customers!H$43</f>
        <v>474917214.65525633</v>
      </c>
      <c r="I25" s="4">
        <f xml:space="preserve">  Customers!I$43</f>
        <v>0</v>
      </c>
      <c r="J25" s="4">
        <f ca="1" xml:space="preserve">  Customers!J$43</f>
        <v>288000</v>
      </c>
      <c r="K25" s="4">
        <f ca="1" xml:space="preserve">  Customers!K$43</f>
        <v>288000</v>
      </c>
      <c r="L25" s="4">
        <f ca="1" xml:space="preserve">  Customers!L$43</f>
        <v>288000</v>
      </c>
      <c r="M25" s="4">
        <f ca="1" xml:space="preserve">  Customers!M$43</f>
        <v>288000</v>
      </c>
      <c r="N25" s="4">
        <f ca="1" xml:space="preserve">  Customers!N$43</f>
        <v>864000</v>
      </c>
      <c r="O25" s="4">
        <f ca="1" xml:space="preserve">  Customers!O$43</f>
        <v>864000</v>
      </c>
      <c r="P25" s="4">
        <f ca="1" xml:space="preserve">  Customers!P$43</f>
        <v>864000</v>
      </c>
      <c r="Q25" s="4">
        <f ca="1" xml:space="preserve">  Customers!Q$43</f>
        <v>1440000</v>
      </c>
      <c r="R25" s="4">
        <f ca="1" xml:space="preserve">  Customers!R$43</f>
        <v>1440000</v>
      </c>
      <c r="S25" s="4">
        <f ca="1" xml:space="preserve">  Customers!S$43</f>
        <v>1440000</v>
      </c>
      <c r="T25" s="4">
        <f ca="1" xml:space="preserve">  Customers!T$43</f>
        <v>1440000</v>
      </c>
      <c r="U25" s="4">
        <f ca="1" xml:space="preserve">  Customers!U$43</f>
        <v>1440000</v>
      </c>
      <c r="V25" s="4">
        <f ca="1" xml:space="preserve">  Customers!V$43</f>
        <v>1525626.8558773852</v>
      </c>
      <c r="W25" s="4">
        <f ca="1" xml:space="preserve">  Customers!W$43</f>
        <v>1616345.3495654971</v>
      </c>
      <c r="X25" s="4">
        <f ca="1" xml:space="preserve">  Customers!X$43</f>
        <v>1712458.2456039183</v>
      </c>
      <c r="Y25" s="4">
        <f ca="1" xml:space="preserve">  Customers!Y$43</f>
        <v>1814286.3118486174</v>
      </c>
      <c r="Z25" s="4">
        <f ca="1" xml:space="preserve">  Customers!Z$43</f>
        <v>1922169.3900048493</v>
      </c>
      <c r="AA25" s="4">
        <f ca="1" xml:space="preserve">  Customers!AA$43</f>
        <v>2036467.5298172566</v>
      </c>
      <c r="AB25" s="4">
        <f ca="1" xml:space="preserve">  Customers!AB$43</f>
        <v>2157562.1907024211</v>
      </c>
      <c r="AC25" s="4">
        <f ca="1" xml:space="preserve">  Customers!AC$43</f>
        <v>2285857.5148342075</v>
      </c>
      <c r="AD25" s="4">
        <f ca="1" xml:space="preserve">  Customers!AD$43</f>
        <v>2421781.6759306979</v>
      </c>
      <c r="AE25" s="4">
        <f ca="1" xml:space="preserve">  Customers!AE$43</f>
        <v>2565788.3082441776</v>
      </c>
      <c r="AF25" s="4">
        <f ca="1" xml:space="preserve">  Customers!AF$43</f>
        <v>2718358.0205232776</v>
      </c>
      <c r="AG25" s="4">
        <f ca="1" xml:space="preserve">  Customers!AG$43</f>
        <v>2880000.0000000009</v>
      </c>
      <c r="AH25" s="4">
        <f ca="1" xml:space="preserve">  Customers!AH$43</f>
        <v>3310453.7117547705</v>
      </c>
      <c r="AI25" s="4">
        <f ca="1" xml:space="preserve">  Customers!AI$43</f>
        <v>3491890.6991309943</v>
      </c>
      <c r="AJ25" s="4">
        <f ca="1" xml:space="preserve">  Customers!AJ$43</f>
        <v>3684116.4912078371</v>
      </c>
      <c r="AK25" s="4">
        <f ca="1" xml:space="preserve">  Customers!AK$43</f>
        <v>3887772.6236972362</v>
      </c>
      <c r="AL25" s="4">
        <f ca="1" xml:space="preserve">  Customers!AL$43</f>
        <v>4621938.7800097009</v>
      </c>
      <c r="AM25" s="4">
        <f ca="1" xml:space="preserve">  Customers!AM$43</f>
        <v>4850535.059634516</v>
      </c>
      <c r="AN25" s="4">
        <f ca="1" xml:space="preserve">  Customers!AN$43</f>
        <v>5092724.381404846</v>
      </c>
      <c r="AO25" s="4">
        <f ca="1" xml:space="preserve">  Customers!AO$43</f>
        <v>5867715.0296684168</v>
      </c>
      <c r="AP25" s="4">
        <f ca="1" xml:space="preserve">  Customers!AP$43</f>
        <v>6139563.3518613987</v>
      </c>
      <c r="AQ25" s="4">
        <f ca="1" xml:space="preserve">  Customers!AQ$43</f>
        <v>6427576.6164883571</v>
      </c>
      <c r="AR25" s="4">
        <f ca="1" xml:space="preserve">  Customers!AR$43</f>
        <v>6732716.0410465579</v>
      </c>
      <c r="AS25" s="4">
        <f ca="1" xml:space="preserve">  Customers!AS$43</f>
        <v>7056000.0000000028</v>
      </c>
      <c r="AT25" s="4">
        <f ca="1" xml:space="preserve">  Customers!AT$43</f>
        <v>7475571.5937991915</v>
      </c>
      <c r="AU25" s="4">
        <f ca="1" xml:space="preserve">  Customers!AU$43</f>
        <v>7920092.2128709406</v>
      </c>
      <c r="AV25" s="4">
        <f ca="1" xml:space="preserve">  Customers!AV$43</f>
        <v>8391045.4034592062</v>
      </c>
      <c r="AW25" s="4">
        <f ca="1" xml:space="preserve">  Customers!AW$43</f>
        <v>8890002.9280582312</v>
      </c>
      <c r="AX25" s="4">
        <f ca="1" xml:space="preserve">  Customers!AX$43</f>
        <v>9418630.011023771</v>
      </c>
      <c r="AY25" s="4">
        <f ca="1" xml:space="preserve">  Customers!AY$43</f>
        <v>9978690.8961045668</v>
      </c>
      <c r="AZ25" s="4">
        <f ca="1" xml:space="preserve">  Customers!AZ$43</f>
        <v>10572054.734441875</v>
      </c>
      <c r="BA25" s="4">
        <f ca="1" xml:space="preserve">  Customers!BA$43</f>
        <v>11200701.822687626</v>
      </c>
      <c r="BB25" s="4">
        <f ca="1" xml:space="preserve">  Customers!BB$43</f>
        <v>11866730.212060431</v>
      </c>
      <c r="BC25" s="4">
        <f ca="1" xml:space="preserve">  Customers!BC$43</f>
        <v>12572362.71039648</v>
      </c>
      <c r="BD25" s="4">
        <f ca="1" xml:space="preserve">  Customers!BD$43</f>
        <v>13319954.300564071</v>
      </c>
      <c r="BE25" s="4">
        <f ca="1" xml:space="preserve">  Customers!BE$43</f>
        <v>14112000.000000015</v>
      </c>
      <c r="BF25" s="4">
        <f ca="1" xml:space="preserve">  Customers!BF$43</f>
        <v>14951143.187598392</v>
      </c>
      <c r="BG25" s="4">
        <f ca="1" xml:space="preserve">  Customers!BG$43</f>
        <v>15840184.425741892</v>
      </c>
      <c r="BH25" s="4">
        <f ca="1" xml:space="preserve">  Customers!BH$43</f>
        <v>16782090.80691842</v>
      </c>
      <c r="BI25" s="4">
        <f ca="1" xml:space="preserve">  Customers!BI$43</f>
        <v>17780005.856116474</v>
      </c>
      <c r="BJ25" s="4">
        <f ca="1" xml:space="preserve">  Customers!BJ$43</f>
        <v>18837260.022047549</v>
      </c>
      <c r="BK25" s="4">
        <f ca="1" xml:space="preserve">  Customers!BK$43</f>
        <v>19957381.792209141</v>
      </c>
      <c r="BL25" s="4">
        <f ca="1" xml:space="preserve">  Customers!BL$43</f>
        <v>21144109.46888376</v>
      </c>
      <c r="BM25" s="4">
        <f ca="1" xml:space="preserve">  Customers!BM$43</f>
        <v>22401403.645375267</v>
      </c>
      <c r="BN25" s="4">
        <f ca="1" xml:space="preserve">  Customers!BN$43</f>
        <v>23733460.424120873</v>
      </c>
      <c r="BO25" s="4">
        <f ca="1" xml:space="preserve">  Customers!BO$43</f>
        <v>25144725.420792975</v>
      </c>
      <c r="BP25" s="4">
        <f ca="1" xml:space="preserve">  Customers!BP$43</f>
        <v>26639908.601128161</v>
      </c>
      <c r="BQ25" s="4">
        <f ca="1" xml:space="preserve">  Customers!BQ$43</f>
        <v>28224000.000000045</v>
      </c>
    </row>
    <row r="26" spans="1:69" outlineLevel="1">
      <c r="A26" s="34"/>
      <c r="B26" s="34"/>
      <c r="C26" s="64"/>
      <c r="D26" s="65"/>
      <c r="E26" s="21" t="s">
        <v>89</v>
      </c>
      <c r="F26" s="21"/>
      <c r="G26" s="21" t="s">
        <v>258</v>
      </c>
      <c r="H26" s="3">
        <f t="shared" ref="H26:H27" ca="1" si="6" xml:space="preserve"> SUM( J26:BQ26 )</f>
        <v>23745860.732762821</v>
      </c>
      <c r="I26" s="21"/>
      <c r="J26" s="3">
        <f t="shared" ref="J26:BQ26" ca="1" si="7" xml:space="preserve">  J25 * $F24</f>
        <v>14400</v>
      </c>
      <c r="K26" s="3">
        <f t="shared" ca="1" si="7"/>
        <v>14400</v>
      </c>
      <c r="L26" s="3">
        <f t="shared" ca="1" si="7"/>
        <v>14400</v>
      </c>
      <c r="M26" s="3">
        <f t="shared" ca="1" si="7"/>
        <v>14400</v>
      </c>
      <c r="N26" s="3">
        <f t="shared" ca="1" si="7"/>
        <v>43200</v>
      </c>
      <c r="O26" s="3">
        <f t="shared" ca="1" si="7"/>
        <v>43200</v>
      </c>
      <c r="P26" s="3">
        <f t="shared" ca="1" si="7"/>
        <v>43200</v>
      </c>
      <c r="Q26" s="3">
        <f t="shared" ca="1" si="7"/>
        <v>72000</v>
      </c>
      <c r="R26" s="3">
        <f t="shared" ca="1" si="7"/>
        <v>72000</v>
      </c>
      <c r="S26" s="3">
        <f t="shared" ca="1" si="7"/>
        <v>72000</v>
      </c>
      <c r="T26" s="3">
        <f t="shared" ca="1" si="7"/>
        <v>72000</v>
      </c>
      <c r="U26" s="3">
        <f t="shared" ca="1" si="7"/>
        <v>72000</v>
      </c>
      <c r="V26" s="3">
        <f t="shared" ca="1" si="7"/>
        <v>76281.342793869262</v>
      </c>
      <c r="W26" s="3">
        <f t="shared" ca="1" si="7"/>
        <v>80817.267478274865</v>
      </c>
      <c r="X26" s="3">
        <f t="shared" ca="1" si="7"/>
        <v>85622.912280195917</v>
      </c>
      <c r="Y26" s="3">
        <f t="shared" ca="1" si="7"/>
        <v>90714.315592430881</v>
      </c>
      <c r="Z26" s="3">
        <f t="shared" ca="1" si="7"/>
        <v>96108.469500242471</v>
      </c>
      <c r="AA26" s="3">
        <f t="shared" ca="1" si="7"/>
        <v>101823.37649086284</v>
      </c>
      <c r="AB26" s="3">
        <f t="shared" ca="1" si="7"/>
        <v>107878.10953512107</v>
      </c>
      <c r="AC26" s="3">
        <f t="shared" ca="1" si="7"/>
        <v>114292.87574171038</v>
      </c>
      <c r="AD26" s="3">
        <f t="shared" ca="1" si="7"/>
        <v>121089.08379653491</v>
      </c>
      <c r="AE26" s="3">
        <f t="shared" ca="1" si="7"/>
        <v>128289.41541220888</v>
      </c>
      <c r="AF26" s="3">
        <f t="shared" ca="1" si="7"/>
        <v>135917.90102616389</v>
      </c>
      <c r="AG26" s="3">
        <f t="shared" ca="1" si="7"/>
        <v>144000.00000000006</v>
      </c>
      <c r="AH26" s="3">
        <f t="shared" ca="1" si="7"/>
        <v>165522.68558773852</v>
      </c>
      <c r="AI26" s="3">
        <f t="shared" ca="1" si="7"/>
        <v>174594.53495654973</v>
      </c>
      <c r="AJ26" s="3">
        <f t="shared" ca="1" si="7"/>
        <v>184205.82456039186</v>
      </c>
      <c r="AK26" s="3">
        <f t="shared" ca="1" si="7"/>
        <v>194388.63118486182</v>
      </c>
      <c r="AL26" s="3">
        <f t="shared" ca="1" si="7"/>
        <v>231096.93900048506</v>
      </c>
      <c r="AM26" s="3">
        <f t="shared" ca="1" si="7"/>
        <v>242526.75298172582</v>
      </c>
      <c r="AN26" s="3">
        <f t="shared" ca="1" si="7"/>
        <v>254636.21907024231</v>
      </c>
      <c r="AO26" s="3">
        <f t="shared" ca="1" si="7"/>
        <v>293385.75148342084</v>
      </c>
      <c r="AP26" s="3">
        <f t="shared" ca="1" si="7"/>
        <v>306978.16759306996</v>
      </c>
      <c r="AQ26" s="3">
        <f t="shared" ca="1" si="7"/>
        <v>321378.83082441788</v>
      </c>
      <c r="AR26" s="3">
        <f t="shared" ca="1" si="7"/>
        <v>336635.8020523279</v>
      </c>
      <c r="AS26" s="3">
        <f t="shared" ca="1" si="7"/>
        <v>352800.00000000017</v>
      </c>
      <c r="AT26" s="3">
        <f t="shared" ca="1" si="7"/>
        <v>373778.57968995959</v>
      </c>
      <c r="AU26" s="3">
        <f t="shared" ca="1" si="7"/>
        <v>396004.61064354703</v>
      </c>
      <c r="AV26" s="3">
        <f t="shared" ca="1" si="7"/>
        <v>419552.27017296036</v>
      </c>
      <c r="AW26" s="3">
        <f t="shared" ca="1" si="7"/>
        <v>444500.14640291157</v>
      </c>
      <c r="AX26" s="3">
        <f t="shared" ca="1" si="7"/>
        <v>470931.5005511886</v>
      </c>
      <c r="AY26" s="3">
        <f t="shared" ca="1" si="7"/>
        <v>498934.54480522836</v>
      </c>
      <c r="AZ26" s="3">
        <f t="shared" ca="1" si="7"/>
        <v>528602.73672209377</v>
      </c>
      <c r="BA26" s="3">
        <f t="shared" ca="1" si="7"/>
        <v>560035.09113438136</v>
      </c>
      <c r="BB26" s="3">
        <f t="shared" ca="1" si="7"/>
        <v>593336.5106030216</v>
      </c>
      <c r="BC26" s="3">
        <f t="shared" ca="1" si="7"/>
        <v>628618.13551982399</v>
      </c>
      <c r="BD26" s="3">
        <f t="shared" ca="1" si="7"/>
        <v>665997.71502820356</v>
      </c>
      <c r="BE26" s="3">
        <f t="shared" ca="1" si="7"/>
        <v>705600.00000000081</v>
      </c>
      <c r="BF26" s="3">
        <f t="shared" ca="1" si="7"/>
        <v>747557.15937991964</v>
      </c>
      <c r="BG26" s="3">
        <f t="shared" ca="1" si="7"/>
        <v>792009.22128709464</v>
      </c>
      <c r="BH26" s="3">
        <f t="shared" ca="1" si="7"/>
        <v>839104.54034592106</v>
      </c>
      <c r="BI26" s="3">
        <f t="shared" ca="1" si="7"/>
        <v>889000.29280582373</v>
      </c>
      <c r="BJ26" s="3">
        <f t="shared" ca="1" si="7"/>
        <v>941863.00110237754</v>
      </c>
      <c r="BK26" s="3">
        <f t="shared" ca="1" si="7"/>
        <v>997869.08961045707</v>
      </c>
      <c r="BL26" s="3">
        <f t="shared" ca="1" si="7"/>
        <v>1057205.473444188</v>
      </c>
      <c r="BM26" s="3">
        <f t="shared" ca="1" si="7"/>
        <v>1120070.1822687634</v>
      </c>
      <c r="BN26" s="3">
        <f t="shared" ca="1" si="7"/>
        <v>1186673.0212060437</v>
      </c>
      <c r="BO26" s="3">
        <f t="shared" ca="1" si="7"/>
        <v>1257236.2710396487</v>
      </c>
      <c r="BP26" s="3">
        <f t="shared" ca="1" si="7"/>
        <v>1331995.430056408</v>
      </c>
      <c r="BQ26" s="3">
        <f t="shared" ca="1" si="7"/>
        <v>1411200.0000000023</v>
      </c>
    </row>
    <row r="27" spans="1:69" outlineLevel="1">
      <c r="A27" s="34"/>
      <c r="B27" s="34"/>
      <c r="C27" s="64"/>
      <c r="D27" s="65"/>
      <c r="E27" s="21" t="str">
        <f xml:space="preserve"> LEFT($E$26, LEN($E$26) - 3 )</f>
        <v xml:space="preserve">Variable Operating expense </v>
      </c>
      <c r="F27" s="21"/>
      <c r="G27" s="21" t="str">
        <f xml:space="preserve"> G$26</f>
        <v>GBP</v>
      </c>
      <c r="H27" s="3">
        <f t="shared" ca="1" si="6"/>
        <v>-23745860.732762821</v>
      </c>
      <c r="I27" s="21"/>
      <c r="J27" s="3">
        <f t="shared" ref="J27:BQ27" ca="1" si="8" xml:space="preserve"> -1 * J26</f>
        <v>-14400</v>
      </c>
      <c r="K27" s="3">
        <f t="shared" ca="1" si="8"/>
        <v>-14400</v>
      </c>
      <c r="L27" s="3">
        <f t="shared" ca="1" si="8"/>
        <v>-14400</v>
      </c>
      <c r="M27" s="3">
        <f t="shared" ca="1" si="8"/>
        <v>-14400</v>
      </c>
      <c r="N27" s="3">
        <f t="shared" ca="1" si="8"/>
        <v>-43200</v>
      </c>
      <c r="O27" s="3">
        <f t="shared" ca="1" si="8"/>
        <v>-43200</v>
      </c>
      <c r="P27" s="3">
        <f t="shared" ca="1" si="8"/>
        <v>-43200</v>
      </c>
      <c r="Q27" s="3">
        <f t="shared" ca="1" si="8"/>
        <v>-72000</v>
      </c>
      <c r="R27" s="3">
        <f t="shared" ca="1" si="8"/>
        <v>-72000</v>
      </c>
      <c r="S27" s="3">
        <f t="shared" ca="1" si="8"/>
        <v>-72000</v>
      </c>
      <c r="T27" s="3">
        <f t="shared" ca="1" si="8"/>
        <v>-72000</v>
      </c>
      <c r="U27" s="3">
        <f t="shared" ca="1" si="8"/>
        <v>-72000</v>
      </c>
      <c r="V27" s="3">
        <f t="shared" ca="1" si="8"/>
        <v>-76281.342793869262</v>
      </c>
      <c r="W27" s="3">
        <f t="shared" ca="1" si="8"/>
        <v>-80817.267478274865</v>
      </c>
      <c r="X27" s="3">
        <f t="shared" ca="1" si="8"/>
        <v>-85622.912280195917</v>
      </c>
      <c r="Y27" s="3">
        <f t="shared" ca="1" si="8"/>
        <v>-90714.315592430881</v>
      </c>
      <c r="Z27" s="3">
        <f t="shared" ca="1" si="8"/>
        <v>-96108.469500242471</v>
      </c>
      <c r="AA27" s="3">
        <f t="shared" ca="1" si="8"/>
        <v>-101823.37649086284</v>
      </c>
      <c r="AB27" s="3">
        <f t="shared" ca="1" si="8"/>
        <v>-107878.10953512107</v>
      </c>
      <c r="AC27" s="3">
        <f t="shared" ca="1" si="8"/>
        <v>-114292.87574171038</v>
      </c>
      <c r="AD27" s="3">
        <f t="shared" ca="1" si="8"/>
        <v>-121089.08379653491</v>
      </c>
      <c r="AE27" s="3">
        <f t="shared" ca="1" si="8"/>
        <v>-128289.41541220888</v>
      </c>
      <c r="AF27" s="3">
        <f t="shared" ca="1" si="8"/>
        <v>-135917.90102616389</v>
      </c>
      <c r="AG27" s="3">
        <f t="shared" ca="1" si="8"/>
        <v>-144000.00000000006</v>
      </c>
      <c r="AH27" s="3">
        <f t="shared" ca="1" si="8"/>
        <v>-165522.68558773852</v>
      </c>
      <c r="AI27" s="3">
        <f t="shared" ca="1" si="8"/>
        <v>-174594.53495654973</v>
      </c>
      <c r="AJ27" s="3">
        <f t="shared" ca="1" si="8"/>
        <v>-184205.82456039186</v>
      </c>
      <c r="AK27" s="3">
        <f t="shared" ca="1" si="8"/>
        <v>-194388.63118486182</v>
      </c>
      <c r="AL27" s="3">
        <f t="shared" ca="1" si="8"/>
        <v>-231096.93900048506</v>
      </c>
      <c r="AM27" s="3">
        <f t="shared" ca="1" si="8"/>
        <v>-242526.75298172582</v>
      </c>
      <c r="AN27" s="3">
        <f t="shared" ca="1" si="8"/>
        <v>-254636.21907024231</v>
      </c>
      <c r="AO27" s="3">
        <f t="shared" ca="1" si="8"/>
        <v>-293385.75148342084</v>
      </c>
      <c r="AP27" s="3">
        <f t="shared" ca="1" si="8"/>
        <v>-306978.16759306996</v>
      </c>
      <c r="AQ27" s="3">
        <f t="shared" ca="1" si="8"/>
        <v>-321378.83082441788</v>
      </c>
      <c r="AR27" s="3">
        <f t="shared" ca="1" si="8"/>
        <v>-336635.8020523279</v>
      </c>
      <c r="AS27" s="3">
        <f t="shared" ca="1" si="8"/>
        <v>-352800.00000000017</v>
      </c>
      <c r="AT27" s="3">
        <f t="shared" ca="1" si="8"/>
        <v>-373778.57968995959</v>
      </c>
      <c r="AU27" s="3">
        <f t="shared" ca="1" si="8"/>
        <v>-396004.61064354703</v>
      </c>
      <c r="AV27" s="3">
        <f t="shared" ca="1" si="8"/>
        <v>-419552.27017296036</v>
      </c>
      <c r="AW27" s="3">
        <f t="shared" ca="1" si="8"/>
        <v>-444500.14640291157</v>
      </c>
      <c r="AX27" s="3">
        <f t="shared" ca="1" si="8"/>
        <v>-470931.5005511886</v>
      </c>
      <c r="AY27" s="3">
        <f t="shared" ca="1" si="8"/>
        <v>-498934.54480522836</v>
      </c>
      <c r="AZ27" s="3">
        <f t="shared" ca="1" si="8"/>
        <v>-528602.73672209377</v>
      </c>
      <c r="BA27" s="3">
        <f t="shared" ca="1" si="8"/>
        <v>-560035.09113438136</v>
      </c>
      <c r="BB27" s="3">
        <f t="shared" ca="1" si="8"/>
        <v>-593336.5106030216</v>
      </c>
      <c r="BC27" s="3">
        <f t="shared" ca="1" si="8"/>
        <v>-628618.13551982399</v>
      </c>
      <c r="BD27" s="3">
        <f t="shared" ca="1" si="8"/>
        <v>-665997.71502820356</v>
      </c>
      <c r="BE27" s="3">
        <f t="shared" ca="1" si="8"/>
        <v>-705600.00000000081</v>
      </c>
      <c r="BF27" s="3">
        <f t="shared" ca="1" si="8"/>
        <v>-747557.15937991964</v>
      </c>
      <c r="BG27" s="3">
        <f t="shared" ca="1" si="8"/>
        <v>-792009.22128709464</v>
      </c>
      <c r="BH27" s="3">
        <f t="shared" ca="1" si="8"/>
        <v>-839104.54034592106</v>
      </c>
      <c r="BI27" s="3">
        <f t="shared" ca="1" si="8"/>
        <v>-889000.29280582373</v>
      </c>
      <c r="BJ27" s="3">
        <f t="shared" ca="1" si="8"/>
        <v>-941863.00110237754</v>
      </c>
      <c r="BK27" s="3">
        <f t="shared" ca="1" si="8"/>
        <v>-997869.08961045707</v>
      </c>
      <c r="BL27" s="3">
        <f t="shared" ca="1" si="8"/>
        <v>-1057205.473444188</v>
      </c>
      <c r="BM27" s="3">
        <f t="shared" ca="1" si="8"/>
        <v>-1120070.1822687634</v>
      </c>
      <c r="BN27" s="3">
        <f t="shared" ca="1" si="8"/>
        <v>-1186673.0212060437</v>
      </c>
      <c r="BO27" s="3">
        <f t="shared" ca="1" si="8"/>
        <v>-1257236.2710396487</v>
      </c>
      <c r="BP27" s="3">
        <f t="shared" ca="1" si="8"/>
        <v>-1331995.430056408</v>
      </c>
      <c r="BQ27" s="3">
        <f t="shared" ca="1" si="8"/>
        <v>-1411200.0000000023</v>
      </c>
    </row>
    <row r="30" spans="1:69">
      <c r="B30" s="25" t="s">
        <v>271</v>
      </c>
    </row>
  </sheetData>
  <conditionalFormatting sqref="F3">
    <cfRule type="cellIs" dxfId="266" priority="13" stopIfTrue="1" operator="notEqual">
      <formula>0</formula>
    </cfRule>
    <cfRule type="cellIs" dxfId="265" priority="14" stopIfTrue="1" operator="equal">
      <formula>""</formula>
    </cfRule>
  </conditionalFormatting>
  <conditionalFormatting sqref="J3:BQ3">
    <cfRule type="cellIs" dxfId="264" priority="11" stopIfTrue="1" operator="equal">
      <formula>"Construction"</formula>
    </cfRule>
    <cfRule type="cellIs" dxfId="263" priority="12" stopIfTrue="1" operator="equal">
      <formula>"Operations"</formula>
    </cfRule>
  </conditionalFormatting>
  <conditionalFormatting sqref="J3:BQ3">
    <cfRule type="cellIs" dxfId="262" priority="10" operator="equal">
      <formula>"Fin Close"</formula>
    </cfRule>
  </conditionalFormatting>
  <conditionalFormatting sqref="J3:BQ3">
    <cfRule type="cellIs" dxfId="261" priority="8" operator="equal">
      <formula>"PPA ext."</formula>
    </cfRule>
    <cfRule type="cellIs" dxfId="260" priority="9" operator="equal">
      <formula>"Delay"</formula>
    </cfRule>
  </conditionalFormatting>
  <conditionalFormatting sqref="F2">
    <cfRule type="cellIs" dxfId="259" priority="1" stopIfTrue="1" operator="notEqual">
      <formula>0</formula>
    </cfRule>
    <cfRule type="cellIs" dxfId="258"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Working Capital</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264</v>
      </c>
    </row>
    <row r="9" spans="1:69" outlineLevel="1">
      <c r="A9" s="18"/>
      <c r="B9" s="18"/>
      <c r="C9" s="28"/>
      <c r="D9" s="27"/>
      <c r="E9" s="42" t="str">
        <f xml:space="preserve">  InpC!E$85</f>
        <v>VAT rate</v>
      </c>
      <c r="F9" s="42">
        <f xml:space="preserve">  InpC!F$85</f>
        <v>0.2</v>
      </c>
      <c r="G9" s="42" t="str">
        <f xml:space="preserve">  InpC!G$85</f>
        <v>%</v>
      </c>
      <c r="M9" s="57"/>
    </row>
    <row r="10" spans="1:69" outlineLevel="1">
      <c r="A10" s="18"/>
      <c r="B10" s="18"/>
      <c r="C10" s="28"/>
      <c r="D10" s="27"/>
      <c r="E10" s="4" t="str">
        <f xml:space="preserve">  InpC!E$33</f>
        <v>Order lead time (months)</v>
      </c>
      <c r="F10" s="4">
        <f xml:space="preserve">  InpC!F$33</f>
        <v>6</v>
      </c>
      <c r="G10" s="4" t="str">
        <f xml:space="preserve">  InpC!G$33</f>
        <v>Months</v>
      </c>
      <c r="M10" s="2"/>
    </row>
    <row r="11" spans="1:69" outlineLevel="1">
      <c r="A11" s="18"/>
      <c r="B11" s="18"/>
      <c r="C11" s="28"/>
      <c r="D11" s="27"/>
      <c r="E11" s="4" t="str">
        <f xml:space="preserve">  InpC!E$34</f>
        <v>Supplier price per unit</v>
      </c>
      <c r="F11" s="4">
        <f xml:space="preserve">  InpC!F$34</f>
        <v>35</v>
      </c>
      <c r="G11" s="4" t="str">
        <f xml:space="preserve">  InpC!G$34</f>
        <v>GBP</v>
      </c>
      <c r="M11" s="2"/>
    </row>
    <row r="12" spans="1:69" outlineLevel="1">
      <c r="A12" s="18"/>
      <c r="B12" s="18"/>
      <c r="C12" s="28"/>
      <c r="D12" s="27"/>
      <c r="E12" s="42" t="str">
        <f xml:space="preserve">  InpC!E$32</f>
        <v>Supplier order deposit</v>
      </c>
      <c r="F12" s="42">
        <f xml:space="preserve">  InpC!F$32</f>
        <v>0.3</v>
      </c>
      <c r="G12" s="42" t="str">
        <f xml:space="preserve">  InpC!G$32</f>
        <v>%</v>
      </c>
      <c r="M12" s="57"/>
    </row>
    <row r="13" spans="1:69" outlineLevel="1">
      <c r="A13" s="18"/>
      <c r="B13" s="18"/>
      <c r="C13" s="28"/>
      <c r="D13" s="27"/>
      <c r="E13" s="4" t="str">
        <f xml:space="preserve">  Inventory!E$33</f>
        <v>Units ordered</v>
      </c>
      <c r="F13" s="4">
        <f xml:space="preserve">  Inventory!F$33</f>
        <v>0</v>
      </c>
      <c r="G13" s="4" t="str">
        <f xml:space="preserve">  Inventory!G$33</f>
        <v>Units</v>
      </c>
      <c r="H13" s="4">
        <f ca="1" xml:space="preserve">  Inventory!H$33</f>
        <v>1640000</v>
      </c>
      <c r="I13" s="4">
        <f xml:space="preserve">  Inventory!I$33</f>
        <v>0</v>
      </c>
      <c r="J13" s="4">
        <f xml:space="preserve">  Inventory!J$33</f>
        <v>0</v>
      </c>
      <c r="K13" s="4">
        <f xml:space="preserve">  Inventory!K$33</f>
        <v>0</v>
      </c>
      <c r="L13" s="4">
        <f xml:space="preserve">  Inventory!L$33</f>
        <v>10000</v>
      </c>
      <c r="M13" s="4">
        <f xml:space="preserve">  Inventory!M$33</f>
        <v>10000</v>
      </c>
      <c r="N13" s="4">
        <f xml:space="preserve">  Inventory!N$33</f>
        <v>10000</v>
      </c>
      <c r="O13" s="4">
        <f xml:space="preserve">  Inventory!O$33</f>
        <v>0</v>
      </c>
      <c r="P13" s="4">
        <f xml:space="preserve">  Inventory!P$33</f>
        <v>10000</v>
      </c>
      <c r="Q13" s="4">
        <f xml:space="preserve">  Inventory!Q$33</f>
        <v>0</v>
      </c>
      <c r="R13" s="4">
        <f xml:space="preserve">  Inventory!R$33</f>
        <v>10000</v>
      </c>
      <c r="S13" s="4">
        <f xml:space="preserve">  Inventory!S$33</f>
        <v>0</v>
      </c>
      <c r="T13" s="4">
        <f xml:space="preserve">  Inventory!T$33</f>
        <v>0</v>
      </c>
      <c r="U13" s="4">
        <f xml:space="preserve">  Inventory!U$33</f>
        <v>0</v>
      </c>
      <c r="V13" s="4">
        <f ca="1" xml:space="preserve">  Inventory!V$33</f>
        <v>0</v>
      </c>
      <c r="W13" s="4">
        <f ca="1" xml:space="preserve">  Inventory!W$33</f>
        <v>0</v>
      </c>
      <c r="X13" s="4">
        <f ca="1" xml:space="preserve">  Inventory!X$33</f>
        <v>0</v>
      </c>
      <c r="Y13" s="4">
        <f ca="1" xml:space="preserve">  Inventory!Y$33</f>
        <v>5000</v>
      </c>
      <c r="Z13" s="4">
        <f ca="1" xml:space="preserve">  Inventory!Z$33</f>
        <v>5000</v>
      </c>
      <c r="AA13" s="4">
        <f ca="1" xml:space="preserve">  Inventory!AA$33</f>
        <v>5000</v>
      </c>
      <c r="AB13" s="4">
        <f ca="1" xml:space="preserve">  Inventory!AB$33</f>
        <v>10000</v>
      </c>
      <c r="AC13" s="4">
        <f ca="1" xml:space="preserve">  Inventory!AC$33</f>
        <v>10000</v>
      </c>
      <c r="AD13" s="4">
        <f ca="1" xml:space="preserve">  Inventory!AD$33</f>
        <v>5000</v>
      </c>
      <c r="AE13" s="4">
        <f ca="1" xml:space="preserve">  Inventory!AE$33</f>
        <v>10000</v>
      </c>
      <c r="AF13" s="4">
        <f ca="1" xml:space="preserve">  Inventory!AF$33</f>
        <v>10000</v>
      </c>
      <c r="AG13" s="4">
        <f ca="1" xml:space="preserve">  Inventory!AG$33</f>
        <v>10000</v>
      </c>
      <c r="AH13" s="4">
        <f ca="1" xml:space="preserve">  Inventory!AH$33</f>
        <v>10000</v>
      </c>
      <c r="AI13" s="4">
        <f ca="1" xml:space="preserve">  Inventory!AI$33</f>
        <v>15000</v>
      </c>
      <c r="AJ13" s="4">
        <f ca="1" xml:space="preserve">  Inventory!AJ$33</f>
        <v>10000</v>
      </c>
      <c r="AK13" s="4">
        <f ca="1" xml:space="preserve">  Inventory!AK$33</f>
        <v>15000</v>
      </c>
      <c r="AL13" s="4">
        <f ca="1" xml:space="preserve">  Inventory!AL$33</f>
        <v>15000</v>
      </c>
      <c r="AM13" s="4">
        <f ca="1" xml:space="preserve">  Inventory!AM$33</f>
        <v>15000</v>
      </c>
      <c r="AN13" s="4">
        <f ca="1" xml:space="preserve">  Inventory!AN$33</f>
        <v>20000</v>
      </c>
      <c r="AO13" s="4">
        <f ca="1" xml:space="preserve">  Inventory!AO$33</f>
        <v>20000</v>
      </c>
      <c r="AP13" s="4">
        <f ca="1" xml:space="preserve">  Inventory!AP$33</f>
        <v>20000</v>
      </c>
      <c r="AQ13" s="4">
        <f ca="1" xml:space="preserve">  Inventory!AQ$33</f>
        <v>25000</v>
      </c>
      <c r="AR13" s="4">
        <f ca="1" xml:space="preserve">  Inventory!AR$33</f>
        <v>20000</v>
      </c>
      <c r="AS13" s="4">
        <f ca="1" xml:space="preserve">  Inventory!AS$33</f>
        <v>25000</v>
      </c>
      <c r="AT13" s="4">
        <f ca="1" xml:space="preserve">  Inventory!AT$33</f>
        <v>30000</v>
      </c>
      <c r="AU13" s="4">
        <f ca="1" xml:space="preserve">  Inventory!AU$33</f>
        <v>25000</v>
      </c>
      <c r="AV13" s="4">
        <f ca="1" xml:space="preserve">  Inventory!AV$33</f>
        <v>30000</v>
      </c>
      <c r="AW13" s="4">
        <f ca="1" xml:space="preserve">  Inventory!AW$33</f>
        <v>30000</v>
      </c>
      <c r="AX13" s="4">
        <f ca="1" xml:space="preserve">  Inventory!AX$33</f>
        <v>35000</v>
      </c>
      <c r="AY13" s="4">
        <f ca="1" xml:space="preserve">  Inventory!AY$33</f>
        <v>35000</v>
      </c>
      <c r="AZ13" s="4">
        <f ca="1" xml:space="preserve">  Inventory!AZ$33</f>
        <v>35000</v>
      </c>
      <c r="BA13" s="4">
        <f ca="1" xml:space="preserve">  Inventory!BA$33</f>
        <v>40000</v>
      </c>
      <c r="BB13" s="4">
        <f ca="1" xml:space="preserve">  Inventory!BB$33</f>
        <v>40000</v>
      </c>
      <c r="BC13" s="4">
        <f ca="1" xml:space="preserve">  Inventory!BC$33</f>
        <v>45000</v>
      </c>
      <c r="BD13" s="4">
        <f ca="1" xml:space="preserve">  Inventory!BD$33</f>
        <v>45000</v>
      </c>
      <c r="BE13" s="4">
        <f ca="1" xml:space="preserve">  Inventory!BE$33</f>
        <v>50000</v>
      </c>
      <c r="BF13" s="4">
        <f ca="1" xml:space="preserve">  Inventory!BF$33</f>
        <v>50000</v>
      </c>
      <c r="BG13" s="4">
        <f ca="1" xml:space="preserve">  Inventory!BG$33</f>
        <v>55000</v>
      </c>
      <c r="BH13" s="4">
        <f ca="1" xml:space="preserve">  Inventory!BH$33</f>
        <v>60000</v>
      </c>
      <c r="BI13" s="4">
        <f ca="1" xml:space="preserve">  Inventory!BI$33</f>
        <v>60000</v>
      </c>
      <c r="BJ13" s="4">
        <f ca="1" xml:space="preserve">  Inventory!BJ$33</f>
        <v>65000</v>
      </c>
      <c r="BK13" s="4">
        <f ca="1" xml:space="preserve">  Inventory!BK$33</f>
        <v>70000</v>
      </c>
      <c r="BL13" s="4">
        <f ca="1" xml:space="preserve">  Inventory!BL$33</f>
        <v>75000</v>
      </c>
      <c r="BM13" s="4">
        <f ca="1" xml:space="preserve">  Inventory!BM$33</f>
        <v>75000</v>
      </c>
      <c r="BN13" s="4">
        <f ca="1" xml:space="preserve">  Inventory!BN$33</f>
        <v>85000</v>
      </c>
      <c r="BO13" s="4">
        <f ca="1" xml:space="preserve">  Inventory!BO$33</f>
        <v>85000</v>
      </c>
      <c r="BP13" s="4">
        <f ca="1" xml:space="preserve">  Inventory!BP$33</f>
        <v>95000</v>
      </c>
      <c r="BQ13" s="4">
        <f ca="1" xml:space="preserve">  Inventory!BQ$33</f>
        <v>95000</v>
      </c>
    </row>
    <row r="14" spans="1:69" outlineLevel="1">
      <c r="E14" s="47" t="s">
        <v>308</v>
      </c>
      <c r="G14" s="47" t="s">
        <v>258</v>
      </c>
      <c r="H14" s="2">
        <f t="shared" ref="H14:H15" ca="1" si="0" xml:space="preserve"> SUM( J14:BQ14 )</f>
        <v>50442000</v>
      </c>
      <c r="J14" s="2">
        <f ca="1" xml:space="preserve">  ( 1 + $F9 ) * ( IF( Time!J28 &lt; 1 + $F10, 0, OFFSET( J13, 0, - 1 * ( $F10 ) ) ) * $F11 * ( 1 - $F12 ) ) + ( J13 * $F11 * $F12 )</f>
        <v>0</v>
      </c>
      <c r="K14" s="2">
        <f ca="1" xml:space="preserve">  ( 1 + $F9 ) * ( IF( Time!K28 &lt; 1 + $F10, 0, OFFSET( K13, 0, - 1 * ( $F10 ) ) ) * $F11 * ( 1 - $F12 ) ) + ( K13 * $F11 * $F12 )</f>
        <v>0</v>
      </c>
      <c r="L14" s="2">
        <f ca="1" xml:space="preserve">  ( 1 + $F9 ) * ( IF( Time!L28 &lt; 1 + $F10, 0, OFFSET( L13, 0, - 1 * ( $F10 ) ) ) * $F11 * ( 1 - $F12 ) ) + ( L13 * $F11 * $F12 )</f>
        <v>105000</v>
      </c>
      <c r="M14" s="2">
        <f ca="1" xml:space="preserve">  ( 1 + $F9 ) * ( IF( Time!M28 &lt; 1 + $F10, 0, OFFSET( M13, 0, - 1 * ( $F10 ) ) ) * $F11 * ( 1 - $F12 ) ) + ( M13 * $F11 * $F12 )</f>
        <v>105000</v>
      </c>
      <c r="N14" s="2">
        <f ca="1" xml:space="preserve">  ( 1 + $F9 ) * ( IF( Time!N28 &lt; 1 + $F10, 0, OFFSET( N13, 0, - 1 * ( $F10 ) ) ) * $F11 * ( 1 - $F12 ) ) + ( N13 * $F11 * $F12 )</f>
        <v>105000</v>
      </c>
      <c r="O14" s="2">
        <f ca="1" xml:space="preserve">  ( 1 + $F9 ) * ( IF( Time!O28 &lt; 1 + $F10, 0, OFFSET( O13, 0, - 1 * ( $F10 ) ) ) * $F11 * ( 1 - $F12 ) ) + ( O13 * $F11 * $F12 )</f>
        <v>0</v>
      </c>
      <c r="P14" s="2">
        <f ca="1" xml:space="preserve">  ( 1 + $F9 ) * ( IF( Time!P28 &lt; 1 + $F10, 0, OFFSET( P13, 0, - 1 * ( $F10 ) ) ) * $F11 * ( 1 - $F12 ) ) + ( P13 * $F11 * $F12 )</f>
        <v>105000</v>
      </c>
      <c r="Q14" s="2">
        <f ca="1" xml:space="preserve">  ( 1 + $F9 ) * ( IF( Time!Q28 &lt; 1 + $F10, 0, OFFSET( Q13, 0, - 1 * ( $F10 ) ) ) * $F11 * ( 1 - $F12 ) ) + ( Q13 * $F11 * $F12 )</f>
        <v>0</v>
      </c>
      <c r="R14" s="2">
        <f ca="1" xml:space="preserve">  ( 1 + $F9 ) * ( IF( Time!R28 &lt; 1 + $F10, 0, OFFSET( R13, 0, - 1 * ( $F10 ) ) ) * $F11 * ( 1 - $F12 ) ) + ( R13 * $F11 * $F12 )</f>
        <v>398999.99999999994</v>
      </c>
      <c r="S14" s="2">
        <f ca="1" xml:space="preserve">  ( 1 + $F9 ) * ( IF( Time!S28 &lt; 1 + $F10, 0, OFFSET( S13, 0, - 1 * ( $F10 ) ) ) * $F11 * ( 1 - $F12 ) ) + ( S13 * $F11 * $F12 )</f>
        <v>293999.99999999994</v>
      </c>
      <c r="T14" s="2">
        <f ca="1" xml:space="preserve">  ( 1 + $F9 ) * ( IF( Time!T28 &lt; 1 + $F10, 0, OFFSET( T13, 0, - 1 * ( $F10 ) ) ) * $F11 * ( 1 - $F12 ) ) + ( T13 * $F11 * $F12 )</f>
        <v>293999.99999999994</v>
      </c>
      <c r="U14" s="2">
        <f ca="1" xml:space="preserve">  ( 1 + $F9 ) * ( IF( Time!U28 &lt; 1 + $F10, 0, OFFSET( U13, 0, - 1 * ( $F10 ) ) ) * $F11 * ( 1 - $F12 ) ) + ( U13 * $F11 * $F12 )</f>
        <v>0</v>
      </c>
      <c r="V14" s="2">
        <f ca="1" xml:space="preserve">  ( 1 + $F9 ) * ( IF( Time!V28 &lt; 1 + $F10, 0, OFFSET( V13, 0, - 1 * ( $F10 ) ) ) * $F11 * ( 1 - $F12 ) ) + ( V13 * $F11 * $F12 )</f>
        <v>293999.99999999994</v>
      </c>
      <c r="W14" s="2">
        <f ca="1" xml:space="preserve">  ( 1 + $F9 ) * ( IF( Time!W28 &lt; 1 + $F10, 0, OFFSET( W13, 0, - 1 * ( $F10 ) ) ) * $F11 * ( 1 - $F12 ) ) + ( W13 * $F11 * $F12 )</f>
        <v>0</v>
      </c>
      <c r="X14" s="2">
        <f ca="1" xml:space="preserve">  ( 1 + $F9 ) * ( IF( Time!X28 &lt; 1 + $F10, 0, OFFSET( X13, 0, - 1 * ( $F10 ) ) ) * $F11 * ( 1 - $F12 ) ) + ( X13 * $F11 * $F12 )</f>
        <v>293999.99999999994</v>
      </c>
      <c r="Y14" s="2">
        <f ca="1" xml:space="preserve">  ( 1 + $F9 ) * ( IF( Time!Y28 &lt; 1 + $F10, 0, OFFSET( Y13, 0, - 1 * ( $F10 ) ) ) * $F11 * ( 1 - $F12 ) ) + ( Y13 * $F11 * $F12 )</f>
        <v>52500</v>
      </c>
      <c r="Z14" s="2">
        <f ca="1" xml:space="preserve">  ( 1 + $F9 ) * ( IF( Time!Z28 &lt; 1 + $F10, 0, OFFSET( Z13, 0, - 1 * ( $F10 ) ) ) * $F11 * ( 1 - $F12 ) ) + ( Z13 * $F11 * $F12 )</f>
        <v>52500</v>
      </c>
      <c r="AA14" s="2">
        <f ca="1" xml:space="preserve">  ( 1 + $F9 ) * ( IF( Time!AA28 &lt; 1 + $F10, 0, OFFSET( AA13, 0, - 1 * ( $F10 ) ) ) * $F11 * ( 1 - $F12 ) ) + ( AA13 * $F11 * $F12 )</f>
        <v>52500</v>
      </c>
      <c r="AB14" s="2">
        <f ca="1" xml:space="preserve">  ( 1 + $F9 ) * ( IF( Time!AB28 &lt; 1 + $F10, 0, OFFSET( AB13, 0, - 1 * ( $F10 ) ) ) * $F11 * ( 1 - $F12 ) ) + ( AB13 * $F11 * $F12 )</f>
        <v>105000</v>
      </c>
      <c r="AC14" s="2">
        <f ca="1" xml:space="preserve">  ( 1 + $F9 ) * ( IF( Time!AC28 &lt; 1 + $F10, 0, OFFSET( AC13, 0, - 1 * ( $F10 ) ) ) * $F11 * ( 1 - $F12 ) ) + ( AC13 * $F11 * $F12 )</f>
        <v>105000</v>
      </c>
      <c r="AD14" s="2">
        <f ca="1" xml:space="preserve">  ( 1 + $F9 ) * ( IF( Time!AD28 &lt; 1 + $F10, 0, OFFSET( AD13, 0, - 1 * ( $F10 ) ) ) * $F11 * ( 1 - $F12 ) ) + ( AD13 * $F11 * $F12 )</f>
        <v>52500</v>
      </c>
      <c r="AE14" s="2">
        <f ca="1" xml:space="preserve">  ( 1 + $F9 ) * ( IF( Time!AE28 &lt; 1 + $F10, 0, OFFSET( AE13, 0, - 1 * ( $F10 ) ) ) * $F11 * ( 1 - $F12 ) ) + ( AE13 * $F11 * $F12 )</f>
        <v>251999.99999999997</v>
      </c>
      <c r="AF14" s="2">
        <f ca="1" xml:space="preserve">  ( 1 + $F9 ) * ( IF( Time!AF28 &lt; 1 + $F10, 0, OFFSET( AF13, 0, - 1 * ( $F10 ) ) ) * $F11 * ( 1 - $F12 ) ) + ( AF13 * $F11 * $F12 )</f>
        <v>251999.99999999997</v>
      </c>
      <c r="AG14" s="2">
        <f ca="1" xml:space="preserve">  ( 1 + $F9 ) * ( IF( Time!AG28 &lt; 1 + $F10, 0, OFFSET( AG13, 0, - 1 * ( $F10 ) ) ) * $F11 * ( 1 - $F12 ) ) + ( AG13 * $F11 * $F12 )</f>
        <v>251999.99999999997</v>
      </c>
      <c r="AH14" s="2">
        <f ca="1" xml:space="preserve">  ( 1 + $F9 ) * ( IF( Time!AH28 &lt; 1 + $F10, 0, OFFSET( AH13, 0, - 1 * ( $F10 ) ) ) * $F11 * ( 1 - $F12 ) ) + ( AH13 * $F11 * $F12 )</f>
        <v>398999.99999999994</v>
      </c>
      <c r="AI14" s="2">
        <f ca="1" xml:space="preserve">  ( 1 + $F9 ) * ( IF( Time!AI28 &lt; 1 + $F10, 0, OFFSET( AI13, 0, - 1 * ( $F10 ) ) ) * $F11 * ( 1 - $F12 ) ) + ( AI13 * $F11 * $F12 )</f>
        <v>451499.99999999994</v>
      </c>
      <c r="AJ14" s="2">
        <f ca="1" xml:space="preserve">  ( 1 + $F9 ) * ( IF( Time!AJ28 &lt; 1 + $F10, 0, OFFSET( AJ13, 0, - 1 * ( $F10 ) ) ) * $F11 * ( 1 - $F12 ) ) + ( AJ13 * $F11 * $F12 )</f>
        <v>251999.99999999997</v>
      </c>
      <c r="AK14" s="2">
        <f ca="1" xml:space="preserve">  ( 1 + $F9 ) * ( IF( Time!AK28 &lt; 1 + $F10, 0, OFFSET( AK13, 0, - 1 * ( $F10 ) ) ) * $F11 * ( 1 - $F12 ) ) + ( AK13 * $F11 * $F12 )</f>
        <v>451499.99999999994</v>
      </c>
      <c r="AL14" s="2">
        <f ca="1" xml:space="preserve">  ( 1 + $F9 ) * ( IF( Time!AL28 &lt; 1 + $F10, 0, OFFSET( AL13, 0, - 1 * ( $F10 ) ) ) * $F11 * ( 1 - $F12 ) ) + ( AL13 * $F11 * $F12 )</f>
        <v>451499.99999999994</v>
      </c>
      <c r="AM14" s="2">
        <f ca="1" xml:space="preserve">  ( 1 + $F9 ) * ( IF( Time!AM28 &lt; 1 + $F10, 0, OFFSET( AM13, 0, - 1 * ( $F10 ) ) ) * $F11 * ( 1 - $F12 ) ) + ( AM13 * $F11 * $F12 )</f>
        <v>451499.99999999994</v>
      </c>
      <c r="AN14" s="2">
        <f ca="1" xml:space="preserve">  ( 1 + $F9 ) * ( IF( Time!AN28 &lt; 1 + $F10, 0, OFFSET( AN13, 0, - 1 * ( $F10 ) ) ) * $F11 * ( 1 - $F12 ) ) + ( AN13 * $F11 * $F12 )</f>
        <v>503999.99999999994</v>
      </c>
      <c r="AO14" s="2">
        <f ca="1" xml:space="preserve">  ( 1 + $F9 ) * ( IF( Time!AO28 &lt; 1 + $F10, 0, OFFSET( AO13, 0, - 1 * ( $F10 ) ) ) * $F11 * ( 1 - $F12 ) ) + ( AO13 * $F11 * $F12 )</f>
        <v>651000</v>
      </c>
      <c r="AP14" s="2">
        <f ca="1" xml:space="preserve">  ( 1 + $F9 ) * ( IF( Time!AP28 &lt; 1 + $F10, 0, OFFSET( AP13, 0, - 1 * ( $F10 ) ) ) * $F11 * ( 1 - $F12 ) ) + ( AP13 * $F11 * $F12 )</f>
        <v>503999.99999999994</v>
      </c>
      <c r="AQ14" s="2">
        <f ca="1" xml:space="preserve">  ( 1 + $F9 ) * ( IF( Time!AQ28 &lt; 1 + $F10, 0, OFFSET( AQ13, 0, - 1 * ( $F10 ) ) ) * $F11 * ( 1 - $F12 ) ) + ( AQ13 * $F11 * $F12 )</f>
        <v>703500</v>
      </c>
      <c r="AR14" s="2">
        <f ca="1" xml:space="preserve">  ( 1 + $F9 ) * ( IF( Time!AR28 &lt; 1 + $F10, 0, OFFSET( AR13, 0, - 1 * ( $F10 ) ) ) * $F11 * ( 1 - $F12 ) ) + ( AR13 * $F11 * $F12 )</f>
        <v>651000</v>
      </c>
      <c r="AS14" s="2">
        <f ca="1" xml:space="preserve">  ( 1 + $F9 ) * ( IF( Time!AS28 &lt; 1 + $F10, 0, OFFSET( AS13, 0, - 1 * ( $F10 ) ) ) * $F11 * ( 1 - $F12 ) ) + ( AS13 * $F11 * $F12 )</f>
        <v>703500</v>
      </c>
      <c r="AT14" s="2">
        <f ca="1" xml:space="preserve">  ( 1 + $F9 ) * ( IF( Time!AT28 &lt; 1 + $F10, 0, OFFSET( AT13, 0, - 1 * ( $F10 ) ) ) * $F11 * ( 1 - $F12 ) ) + ( AT13 * $F11 * $F12 )</f>
        <v>902999.99999999988</v>
      </c>
      <c r="AU14" s="2">
        <f ca="1" xml:space="preserve">  ( 1 + $F9 ) * ( IF( Time!AU28 &lt; 1 + $F10, 0, OFFSET( AU13, 0, - 1 * ( $F10 ) ) ) * $F11 * ( 1 - $F12 ) ) + ( AU13 * $F11 * $F12 )</f>
        <v>850499.99999999988</v>
      </c>
      <c r="AV14" s="2">
        <f ca="1" xml:space="preserve">  ( 1 + $F9 ) * ( IF( Time!AV28 &lt; 1 + $F10, 0, OFFSET( AV13, 0, - 1 * ( $F10 ) ) ) * $F11 * ( 1 - $F12 ) ) + ( AV13 * $F11 * $F12 )</f>
        <v>902999.99999999988</v>
      </c>
      <c r="AW14" s="2">
        <f ca="1" xml:space="preserve">  ( 1 + $F9 ) * ( IF( Time!AW28 &lt; 1 + $F10, 0, OFFSET( AW13, 0, - 1 * ( $F10 ) ) ) * $F11 * ( 1 - $F12 ) ) + ( AW13 * $F11 * $F12 )</f>
        <v>1050000</v>
      </c>
      <c r="AX14" s="2">
        <f ca="1" xml:space="preserve">  ( 1 + $F9 ) * ( IF( Time!AX28 &lt; 1 + $F10, 0, OFFSET( AX13, 0, - 1 * ( $F10 ) ) ) * $F11 * ( 1 - $F12 ) ) + ( AX13 * $F11 * $F12 )</f>
        <v>955499.99999999988</v>
      </c>
      <c r="AY14" s="2">
        <f ca="1" xml:space="preserve">  ( 1 + $F9 ) * ( IF( Time!AY28 &lt; 1 + $F10, 0, OFFSET( AY13, 0, - 1 * ( $F10 ) ) ) * $F11 * ( 1 - $F12 ) ) + ( AY13 * $F11 * $F12 )</f>
        <v>1102500</v>
      </c>
      <c r="AZ14" s="2">
        <f ca="1" xml:space="preserve">  ( 1 + $F9 ) * ( IF( Time!AZ28 &lt; 1 + $F10, 0, OFFSET( AZ13, 0, - 1 * ( $F10 ) ) ) * $F11 * ( 1 - $F12 ) ) + ( AZ13 * $F11 * $F12 )</f>
        <v>1249500</v>
      </c>
      <c r="BA14" s="2">
        <f ca="1" xml:space="preserve">  ( 1 + $F9 ) * ( IF( Time!BA28 &lt; 1 + $F10, 0, OFFSET( BA13, 0, - 1 * ( $F10 ) ) ) * $F11 * ( 1 - $F12 ) ) + ( BA13 * $F11 * $F12 )</f>
        <v>1155000</v>
      </c>
      <c r="BB14" s="2">
        <f ca="1" xml:space="preserve">  ( 1 + $F9 ) * ( IF( Time!BB28 &lt; 1 + $F10, 0, OFFSET( BB13, 0, - 1 * ( $F10 ) ) ) * $F11 * ( 1 - $F12 ) ) + ( BB13 * $F11 * $F12 )</f>
        <v>1302000</v>
      </c>
      <c r="BC14" s="2">
        <f ca="1" xml:space="preserve">  ( 1 + $F9 ) * ( IF( Time!BC28 &lt; 1 + $F10, 0, OFFSET( BC13, 0, - 1 * ( $F10 ) ) ) * $F11 * ( 1 - $F12 ) ) + ( BC13 * $F11 * $F12 )</f>
        <v>1354500</v>
      </c>
      <c r="BD14" s="2">
        <f ca="1" xml:space="preserve">  ( 1 + $F9 ) * ( IF( Time!BD28 &lt; 1 + $F10, 0, OFFSET( BD13, 0, - 1 * ( $F10 ) ) ) * $F11 * ( 1 - $F12 ) ) + ( BD13 * $F11 * $F12 )</f>
        <v>1501500</v>
      </c>
      <c r="BE14" s="2">
        <f ca="1" xml:space="preserve">  ( 1 + $F9 ) * ( IF( Time!BE28 &lt; 1 + $F10, 0, OFFSET( BE13, 0, - 1 * ( $F10 ) ) ) * $F11 * ( 1 - $F12 ) ) + ( BE13 * $F11 * $F12 )</f>
        <v>1554000</v>
      </c>
      <c r="BF14" s="2">
        <f ca="1" xml:space="preserve">  ( 1 + $F9 ) * ( IF( Time!BF28 &lt; 1 + $F10, 0, OFFSET( BF13, 0, - 1 * ( $F10 ) ) ) * $F11 * ( 1 - $F12 ) ) + ( BF13 * $F11 * $F12 )</f>
        <v>1554000</v>
      </c>
      <c r="BG14" s="2">
        <f ca="1" xml:space="preserve">  ( 1 + $F9 ) * ( IF( Time!BG28 &lt; 1 + $F10, 0, OFFSET( BG13, 0, - 1 * ( $F10 ) ) ) * $F11 * ( 1 - $F12 ) ) + ( BG13 * $F11 * $F12 )</f>
        <v>1753499.9999999998</v>
      </c>
      <c r="BH14" s="2">
        <f ca="1" xml:space="preserve">  ( 1 + $F9 ) * ( IF( Time!BH28 &lt; 1 + $F10, 0, OFFSET( BH13, 0, - 1 * ( $F10 ) ) ) * $F11 * ( 1 - $F12 ) ) + ( BH13 * $F11 * $F12 )</f>
        <v>1805999.9999999998</v>
      </c>
      <c r="BI14" s="2">
        <f ca="1" xml:space="preserve">  ( 1 + $F9 ) * ( IF( Time!BI28 &lt; 1 + $F10, 0, OFFSET( BI13, 0, - 1 * ( $F10 ) ) ) * $F11 * ( 1 - $F12 ) ) + ( BI13 * $F11 * $F12 )</f>
        <v>1953000</v>
      </c>
      <c r="BJ14" s="2">
        <f ca="1" xml:space="preserve">  ( 1 + $F9 ) * ( IF( Time!BJ28 &lt; 1 + $F10, 0, OFFSET( BJ13, 0, - 1 * ( $F10 ) ) ) * $F11 * ( 1 - $F12 ) ) + ( BJ13 * $F11 * $F12 )</f>
        <v>2005500</v>
      </c>
      <c r="BK14" s="2">
        <f ca="1" xml:space="preserve">  ( 1 + $F9 ) * ( IF( Time!BK28 &lt; 1 + $F10, 0, OFFSET( BK13, 0, - 1 * ( $F10 ) ) ) * $F11 * ( 1 - $F12 ) ) + ( BK13 * $F11 * $F12 )</f>
        <v>2205000</v>
      </c>
      <c r="BL14" s="2">
        <f ca="1" xml:space="preserve">  ( 1 + $F9 ) * ( IF( Time!BL28 &lt; 1 + $F10, 0, OFFSET( BL13, 0, - 1 * ( $F10 ) ) ) * $F11 * ( 1 - $F12 ) ) + ( BL13 * $F11 * $F12 )</f>
        <v>2257500</v>
      </c>
      <c r="BM14" s="2">
        <f ca="1" xml:space="preserve">  ( 1 + $F9 ) * ( IF( Time!BM28 &lt; 1 + $F10, 0, OFFSET( BM13, 0, - 1 * ( $F10 ) ) ) * $F11 * ( 1 - $F12 ) ) + ( BM13 * $F11 * $F12 )</f>
        <v>2404500</v>
      </c>
      <c r="BN14" s="2">
        <f ca="1" xml:space="preserve">  ( 1 + $F9 ) * ( IF( Time!BN28 &lt; 1 + $F10, 0, OFFSET( BN13, 0, - 1 * ( $F10 ) ) ) * $F11 * ( 1 - $F12 ) ) + ( BN13 * $F11 * $F12 )</f>
        <v>2656500</v>
      </c>
      <c r="BO14" s="2">
        <f ca="1" xml:space="preserve">  ( 1 + $F9 ) * ( IF( Time!BO28 &lt; 1 + $F10, 0, OFFSET( BO13, 0, - 1 * ( $F10 ) ) ) * $F11 * ( 1 - $F12 ) ) + ( BO13 * $F11 * $F12 )</f>
        <v>2656500</v>
      </c>
      <c r="BP14" s="2">
        <f ca="1" xml:space="preserve">  ( 1 + $F9 ) * ( IF( Time!BP28 &lt; 1 + $F10, 0, OFFSET( BP13, 0, - 1 * ( $F10 ) ) ) * $F11 * ( 1 - $F12 ) ) + ( BP13 * $F11 * $F12 )</f>
        <v>2908500</v>
      </c>
      <c r="BQ14" s="2">
        <f ca="1" xml:space="preserve">  ( 1 + $F9 ) * ( IF( Time!BQ28 &lt; 1 + $F10, 0, OFFSET( BQ13, 0, - 1 * ( $F10 ) ) ) * $F11 * ( 1 - $F12 ) ) + ( BQ13 * $F11 * $F12 )</f>
        <v>3055500</v>
      </c>
    </row>
    <row r="15" spans="1:69" outlineLevel="1">
      <c r="A15" s="34"/>
      <c r="B15" s="34"/>
      <c r="C15" s="64"/>
      <c r="D15" s="65"/>
      <c r="E15" s="21" t="str">
        <f xml:space="preserve"> LEFT($E$14, LEN($E$14) - 3 )</f>
        <v xml:space="preserve">Cash out on Inventory </v>
      </c>
      <c r="F15" s="21"/>
      <c r="G15" s="21" t="str">
        <f xml:space="preserve"> G$14</f>
        <v>GBP</v>
      </c>
      <c r="H15" s="3">
        <f t="shared" ca="1" si="0"/>
        <v>-50442000</v>
      </c>
      <c r="I15" s="21"/>
      <c r="J15" s="3">
        <f t="shared" ref="J15:BQ15" ca="1" si="1" xml:space="preserve"> -1 * J14</f>
        <v>0</v>
      </c>
      <c r="K15" s="3">
        <f t="shared" ca="1" si="1"/>
        <v>0</v>
      </c>
      <c r="L15" s="3">
        <f t="shared" ca="1" si="1"/>
        <v>-105000</v>
      </c>
      <c r="M15" s="3">
        <f t="shared" ca="1" si="1"/>
        <v>-105000</v>
      </c>
      <c r="N15" s="3">
        <f t="shared" ca="1" si="1"/>
        <v>-105000</v>
      </c>
      <c r="O15" s="3">
        <f t="shared" ca="1" si="1"/>
        <v>0</v>
      </c>
      <c r="P15" s="3">
        <f t="shared" ca="1" si="1"/>
        <v>-105000</v>
      </c>
      <c r="Q15" s="3">
        <f t="shared" ca="1" si="1"/>
        <v>0</v>
      </c>
      <c r="R15" s="3">
        <f t="shared" ca="1" si="1"/>
        <v>-398999.99999999994</v>
      </c>
      <c r="S15" s="3">
        <f t="shared" ca="1" si="1"/>
        <v>-293999.99999999994</v>
      </c>
      <c r="T15" s="3">
        <f t="shared" ca="1" si="1"/>
        <v>-293999.99999999994</v>
      </c>
      <c r="U15" s="3">
        <f t="shared" ca="1" si="1"/>
        <v>0</v>
      </c>
      <c r="V15" s="3">
        <f t="shared" ca="1" si="1"/>
        <v>-293999.99999999994</v>
      </c>
      <c r="W15" s="3">
        <f t="shared" ca="1" si="1"/>
        <v>0</v>
      </c>
      <c r="X15" s="3">
        <f t="shared" ca="1" si="1"/>
        <v>-293999.99999999994</v>
      </c>
      <c r="Y15" s="3">
        <f t="shared" ca="1" si="1"/>
        <v>-52500</v>
      </c>
      <c r="Z15" s="3">
        <f t="shared" ca="1" si="1"/>
        <v>-52500</v>
      </c>
      <c r="AA15" s="3">
        <f t="shared" ca="1" si="1"/>
        <v>-52500</v>
      </c>
      <c r="AB15" s="3">
        <f t="shared" ca="1" si="1"/>
        <v>-105000</v>
      </c>
      <c r="AC15" s="3">
        <f t="shared" ca="1" si="1"/>
        <v>-105000</v>
      </c>
      <c r="AD15" s="3">
        <f t="shared" ca="1" si="1"/>
        <v>-52500</v>
      </c>
      <c r="AE15" s="3">
        <f t="shared" ca="1" si="1"/>
        <v>-251999.99999999997</v>
      </c>
      <c r="AF15" s="3">
        <f t="shared" ca="1" si="1"/>
        <v>-251999.99999999997</v>
      </c>
      <c r="AG15" s="3">
        <f t="shared" ca="1" si="1"/>
        <v>-251999.99999999997</v>
      </c>
      <c r="AH15" s="3">
        <f t="shared" ca="1" si="1"/>
        <v>-398999.99999999994</v>
      </c>
      <c r="AI15" s="3">
        <f t="shared" ca="1" si="1"/>
        <v>-451499.99999999994</v>
      </c>
      <c r="AJ15" s="3">
        <f t="shared" ca="1" si="1"/>
        <v>-251999.99999999997</v>
      </c>
      <c r="AK15" s="3">
        <f t="shared" ca="1" si="1"/>
        <v>-451499.99999999994</v>
      </c>
      <c r="AL15" s="3">
        <f t="shared" ca="1" si="1"/>
        <v>-451499.99999999994</v>
      </c>
      <c r="AM15" s="3">
        <f t="shared" ca="1" si="1"/>
        <v>-451499.99999999994</v>
      </c>
      <c r="AN15" s="3">
        <f t="shared" ca="1" si="1"/>
        <v>-503999.99999999994</v>
      </c>
      <c r="AO15" s="3">
        <f t="shared" ca="1" si="1"/>
        <v>-651000</v>
      </c>
      <c r="AP15" s="3">
        <f t="shared" ca="1" si="1"/>
        <v>-503999.99999999994</v>
      </c>
      <c r="AQ15" s="3">
        <f t="shared" ca="1" si="1"/>
        <v>-703500</v>
      </c>
      <c r="AR15" s="3">
        <f t="shared" ca="1" si="1"/>
        <v>-651000</v>
      </c>
      <c r="AS15" s="3">
        <f t="shared" ca="1" si="1"/>
        <v>-703500</v>
      </c>
      <c r="AT15" s="3">
        <f t="shared" ca="1" si="1"/>
        <v>-902999.99999999988</v>
      </c>
      <c r="AU15" s="3">
        <f t="shared" ca="1" si="1"/>
        <v>-850499.99999999988</v>
      </c>
      <c r="AV15" s="3">
        <f t="shared" ca="1" si="1"/>
        <v>-902999.99999999988</v>
      </c>
      <c r="AW15" s="3">
        <f t="shared" ca="1" si="1"/>
        <v>-1050000</v>
      </c>
      <c r="AX15" s="3">
        <f t="shared" ca="1" si="1"/>
        <v>-955499.99999999988</v>
      </c>
      <c r="AY15" s="3">
        <f t="shared" ca="1" si="1"/>
        <v>-1102500</v>
      </c>
      <c r="AZ15" s="3">
        <f t="shared" ca="1" si="1"/>
        <v>-1249500</v>
      </c>
      <c r="BA15" s="3">
        <f t="shared" ca="1" si="1"/>
        <v>-1155000</v>
      </c>
      <c r="BB15" s="3">
        <f t="shared" ca="1" si="1"/>
        <v>-1302000</v>
      </c>
      <c r="BC15" s="3">
        <f t="shared" ca="1" si="1"/>
        <v>-1354500</v>
      </c>
      <c r="BD15" s="3">
        <f t="shared" ca="1" si="1"/>
        <v>-1501500</v>
      </c>
      <c r="BE15" s="3">
        <f t="shared" ca="1" si="1"/>
        <v>-1554000</v>
      </c>
      <c r="BF15" s="3">
        <f t="shared" ca="1" si="1"/>
        <v>-1554000</v>
      </c>
      <c r="BG15" s="3">
        <f t="shared" ca="1" si="1"/>
        <v>-1753499.9999999998</v>
      </c>
      <c r="BH15" s="3">
        <f t="shared" ca="1" si="1"/>
        <v>-1805999.9999999998</v>
      </c>
      <c r="BI15" s="3">
        <f t="shared" ca="1" si="1"/>
        <v>-1953000</v>
      </c>
      <c r="BJ15" s="3">
        <f t="shared" ca="1" si="1"/>
        <v>-2005500</v>
      </c>
      <c r="BK15" s="3">
        <f t="shared" ca="1" si="1"/>
        <v>-2205000</v>
      </c>
      <c r="BL15" s="3">
        <f t="shared" ca="1" si="1"/>
        <v>-2257500</v>
      </c>
      <c r="BM15" s="3">
        <f t="shared" ca="1" si="1"/>
        <v>-2404500</v>
      </c>
      <c r="BN15" s="3">
        <f t="shared" ca="1" si="1"/>
        <v>-2656500</v>
      </c>
      <c r="BO15" s="3">
        <f t="shared" ca="1" si="1"/>
        <v>-2656500</v>
      </c>
      <c r="BP15" s="3">
        <f t="shared" ca="1" si="1"/>
        <v>-2908500</v>
      </c>
      <c r="BQ15" s="3">
        <f t="shared" ca="1" si="1"/>
        <v>-3055500</v>
      </c>
    </row>
    <row r="18" spans="1:69">
      <c r="B18" s="25" t="s">
        <v>61</v>
      </c>
    </row>
    <row r="19" spans="1:69" outlineLevel="1">
      <c r="A19" s="18"/>
      <c r="B19" s="18"/>
      <c r="C19" s="28"/>
      <c r="D19" s="27"/>
      <c r="E19" s="4" t="str">
        <f xml:space="preserve">  InpC!E$19</f>
        <v>Customer payment terms (months)</v>
      </c>
      <c r="F19" s="4">
        <f xml:space="preserve">  InpC!F$19</f>
        <v>2</v>
      </c>
      <c r="G19" s="4" t="str">
        <f xml:space="preserve">  InpC!G$19</f>
        <v>Months</v>
      </c>
      <c r="M19" s="2"/>
    </row>
    <row r="20" spans="1:69" outlineLevel="1">
      <c r="A20" s="18"/>
      <c r="B20" s="18"/>
      <c r="C20" s="28"/>
      <c r="D20" s="27"/>
      <c r="E20" s="4" t="str">
        <f xml:space="preserve">  Income!E$12</f>
        <v>New Deferred Income from customer orders</v>
      </c>
      <c r="F20" s="4">
        <f xml:space="preserve">  Income!F$12</f>
        <v>0</v>
      </c>
      <c r="G20" s="4" t="str">
        <f xml:space="preserve">  Income!G$12</f>
        <v>GBP</v>
      </c>
      <c r="H20" s="4">
        <f ca="1" xml:space="preserve">  Income!H$12</f>
        <v>223488000</v>
      </c>
      <c r="I20" s="4">
        <f xml:space="preserve">  Income!I$12</f>
        <v>0</v>
      </c>
      <c r="J20" s="4">
        <f ca="1" xml:space="preserve">  Income!J$12</f>
        <v>0</v>
      </c>
      <c r="K20" s="4">
        <f ca="1" xml:space="preserve">  Income!K$12</f>
        <v>144000</v>
      </c>
      <c r="L20" s="4">
        <f ca="1" xml:space="preserve">  Income!L$12</f>
        <v>144000</v>
      </c>
      <c r="M20" s="4">
        <f ca="1" xml:space="preserve">  Income!M$12</f>
        <v>144000</v>
      </c>
      <c r="N20" s="4">
        <f ca="1" xml:space="preserve">  Income!N$12</f>
        <v>144000</v>
      </c>
      <c r="O20" s="4">
        <f ca="1" xml:space="preserve">  Income!O$12</f>
        <v>288000</v>
      </c>
      <c r="P20" s="4">
        <f ca="1" xml:space="preserve">  Income!P$12</f>
        <v>576000</v>
      </c>
      <c r="Q20" s="4">
        <f ca="1" xml:space="preserve">  Income!Q$12</f>
        <v>432000</v>
      </c>
      <c r="R20" s="4">
        <f ca="1" xml:space="preserve">  Income!R$12</f>
        <v>432000</v>
      </c>
      <c r="S20" s="4">
        <f ca="1" xml:space="preserve">  Income!S$12</f>
        <v>0</v>
      </c>
      <c r="T20" s="4">
        <f ca="1" xml:space="preserve">  Income!T$12</f>
        <v>1440000</v>
      </c>
      <c r="U20" s="4">
        <f ca="1" xml:space="preserve">  Income!U$12</f>
        <v>0</v>
      </c>
      <c r="V20" s="4">
        <f ca="1" xml:space="preserve">  Income!V$12</f>
        <v>1440000</v>
      </c>
      <c r="W20" s="4">
        <f ca="1" xml:space="preserve">  Income!W$12</f>
        <v>1194813.4279386925</v>
      </c>
      <c r="X20" s="4">
        <f ca="1" xml:space="preserve">  Income!X$12</f>
        <v>533186.5720613075</v>
      </c>
      <c r="Y20" s="4">
        <f ca="1" xml:space="preserve">  Income!Y$12</f>
        <v>1419215.2255233999</v>
      </c>
      <c r="Z20" s="4">
        <f ca="1" xml:space="preserve">  Income!Z$12</f>
        <v>308784.77447660017</v>
      </c>
      <c r="AA20" s="4">
        <f ca="1" xml:space="preserve">  Income!AA$12</f>
        <v>288000</v>
      </c>
      <c r="AB20" s="4">
        <f ca="1" xml:space="preserve">  Income!AB$12</f>
        <v>576000</v>
      </c>
      <c r="AC20" s="4">
        <f ca="1" xml:space="preserve">  Income!AC$12</f>
        <v>432000</v>
      </c>
      <c r="AD20" s="4">
        <f ca="1" xml:space="preserve">  Income!AD$12</f>
        <v>432000</v>
      </c>
      <c r="AE20" s="4">
        <f ca="1" xml:space="preserve">  Income!AE$12</f>
        <v>0</v>
      </c>
      <c r="AF20" s="4">
        <f ca="1" xml:space="preserve">  Income!AF$12</f>
        <v>2160000</v>
      </c>
      <c r="AG20" s="4">
        <f ca="1" xml:space="preserve">  Income!AG$12</f>
        <v>720000</v>
      </c>
      <c r="AH20" s="4">
        <f ca="1" xml:space="preserve">  Income!AH$12</f>
        <v>2160000</v>
      </c>
      <c r="AI20" s="4">
        <f ca="1" xml:space="preserve">  Income!AI$12</f>
        <v>2490813.4279386923</v>
      </c>
      <c r="AJ20" s="4">
        <f ca="1" xml:space="preserve">  Income!AJ$12</f>
        <v>1829186.5720613075</v>
      </c>
      <c r="AK20" s="4">
        <f ca="1" xml:space="preserve">  Income!AK$12</f>
        <v>1995215.2255233999</v>
      </c>
      <c r="AL20" s="4">
        <f ca="1" xml:space="preserve">  Income!AL$12</f>
        <v>1604784.7744766001</v>
      </c>
      <c r="AM20" s="4">
        <f ca="1" xml:space="preserve">  Income!AM$12</f>
        <v>1440000</v>
      </c>
      <c r="AN20" s="4">
        <f ca="1" xml:space="preserve">  Income!AN$12</f>
        <v>1440000</v>
      </c>
      <c r="AO20" s="4">
        <f ca="1" xml:space="preserve">  Income!AO$12</f>
        <v>1440000</v>
      </c>
      <c r="AP20" s="4">
        <f ca="1" xml:space="preserve">  Income!AP$12</f>
        <v>2160000</v>
      </c>
      <c r="AQ20" s="4">
        <f ca="1" xml:space="preserve">  Income!AQ$12</f>
        <v>1440000</v>
      </c>
      <c r="AR20" s="4">
        <f ca="1" xml:space="preserve">  Income!AR$12</f>
        <v>2880000</v>
      </c>
      <c r="AS20" s="4">
        <f ca="1" xml:space="preserve">  Income!AS$12</f>
        <v>2880000</v>
      </c>
      <c r="AT20" s="4">
        <f ca="1" xml:space="preserve">  Income!AT$12</f>
        <v>2880000</v>
      </c>
      <c r="AU20" s="4">
        <f ca="1" xml:space="preserve">  Income!AU$12</f>
        <v>4320000</v>
      </c>
      <c r="AV20" s="4">
        <f ca="1" xml:space="preserve">  Income!AV$12</f>
        <v>4320000</v>
      </c>
      <c r="AW20" s="4">
        <f ca="1" xml:space="preserve">  Income!AW$12</f>
        <v>3600000</v>
      </c>
      <c r="AX20" s="4">
        <f ca="1" xml:space="preserve">  Income!AX$12</f>
        <v>5040000</v>
      </c>
      <c r="AY20" s="4">
        <f ca="1" xml:space="preserve">  Income!AY$12</f>
        <v>4320000</v>
      </c>
      <c r="AZ20" s="4">
        <f ca="1" xml:space="preserve">  Income!AZ$12</f>
        <v>5040000</v>
      </c>
      <c r="BA20" s="4">
        <f ca="1" xml:space="preserve">  Income!BA$12</f>
        <v>5760000</v>
      </c>
      <c r="BB20" s="4">
        <f ca="1" xml:space="preserve">  Income!BB$12</f>
        <v>5760000</v>
      </c>
      <c r="BC20" s="4">
        <f ca="1" xml:space="preserve">  Income!BC$12</f>
        <v>5760000</v>
      </c>
      <c r="BD20" s="4">
        <f ca="1" xml:space="preserve">  Income!BD$12</f>
        <v>6480000.0000000009</v>
      </c>
      <c r="BE20" s="4">
        <f ca="1" xml:space="preserve">  Income!BE$12</f>
        <v>7200000</v>
      </c>
      <c r="BF20" s="4">
        <f ca="1" xml:space="preserve">  Income!BF$12</f>
        <v>7200000</v>
      </c>
      <c r="BG20" s="4">
        <f ca="1" xml:space="preserve">  Income!BG$12</f>
        <v>7920000</v>
      </c>
      <c r="BH20" s="4">
        <f ca="1" xml:space="preserve">  Income!BH$12</f>
        <v>8640000</v>
      </c>
      <c r="BI20" s="4">
        <f ca="1" xml:space="preserve">  Income!BI$12</f>
        <v>8640000</v>
      </c>
      <c r="BJ20" s="4">
        <f ca="1" xml:space="preserve">  Income!BJ$12</f>
        <v>10080000</v>
      </c>
      <c r="BK20" s="4">
        <f ca="1" xml:space="preserve">  Income!BK$12</f>
        <v>9360000</v>
      </c>
      <c r="BL20" s="4">
        <f ca="1" xml:space="preserve">  Income!BL$12</f>
        <v>10799999.999999998</v>
      </c>
      <c r="BM20" s="4">
        <f ca="1" xml:space="preserve">  Income!BM$12</f>
        <v>11520000.000000002</v>
      </c>
      <c r="BN20" s="4">
        <f ca="1" xml:space="preserve">  Income!BN$12</f>
        <v>11519999.999999996</v>
      </c>
      <c r="BO20" s="4">
        <f ca="1" xml:space="preserve">  Income!BO$12</f>
        <v>12960000</v>
      </c>
      <c r="BP20" s="4">
        <f ca="1" xml:space="preserve">  Income!BP$12</f>
        <v>12960000</v>
      </c>
      <c r="BQ20" s="4">
        <f ca="1" xml:space="preserve">  Income!BQ$12</f>
        <v>14400000</v>
      </c>
    </row>
    <row r="21" spans="1:69" outlineLevel="1">
      <c r="A21" s="18"/>
      <c r="B21" s="18"/>
      <c r="C21" s="28"/>
      <c r="D21" s="27"/>
      <c r="E21" s="4" t="str">
        <f xml:space="preserve">  VAT!E$17</f>
        <v>Output VAT</v>
      </c>
      <c r="F21" s="4">
        <f xml:space="preserve">  VAT!F$17</f>
        <v>0</v>
      </c>
      <c r="G21" s="4" t="str">
        <f xml:space="preserve">  VAT!G$17</f>
        <v>GBP</v>
      </c>
      <c r="H21" s="4">
        <f ca="1" xml:space="preserve">  VAT!H$17</f>
        <v>44697600</v>
      </c>
      <c r="I21" s="4">
        <f xml:space="preserve">  VAT!I$17</f>
        <v>0</v>
      </c>
      <c r="J21" s="4">
        <f ca="1" xml:space="preserve">  VAT!J$17</f>
        <v>0</v>
      </c>
      <c r="K21" s="4">
        <f ca="1" xml:space="preserve">  VAT!K$17</f>
        <v>28800</v>
      </c>
      <c r="L21" s="4">
        <f ca="1" xml:space="preserve">  VAT!L$17</f>
        <v>28800</v>
      </c>
      <c r="M21" s="4">
        <f ca="1" xml:space="preserve">  VAT!M$17</f>
        <v>28800</v>
      </c>
      <c r="N21" s="4">
        <f ca="1" xml:space="preserve">  VAT!N$17</f>
        <v>28800</v>
      </c>
      <c r="O21" s="4">
        <f ca="1" xml:space="preserve">  VAT!O$17</f>
        <v>57600</v>
      </c>
      <c r="P21" s="4">
        <f ca="1" xml:space="preserve">  VAT!P$17</f>
        <v>115200</v>
      </c>
      <c r="Q21" s="4">
        <f ca="1" xml:space="preserve">  VAT!Q$17</f>
        <v>86400</v>
      </c>
      <c r="R21" s="4">
        <f ca="1" xml:space="preserve">  VAT!R$17</f>
        <v>86400</v>
      </c>
      <c r="S21" s="4">
        <f ca="1" xml:space="preserve">  VAT!S$17</f>
        <v>0</v>
      </c>
      <c r="T21" s="4">
        <f ca="1" xml:space="preserve">  VAT!T$17</f>
        <v>288000</v>
      </c>
      <c r="U21" s="4">
        <f ca="1" xml:space="preserve">  VAT!U$17</f>
        <v>0</v>
      </c>
      <c r="V21" s="4">
        <f ca="1" xml:space="preserve">  VAT!V$17</f>
        <v>288000</v>
      </c>
      <c r="W21" s="4">
        <f ca="1" xml:space="preserve">  VAT!W$17</f>
        <v>238962.68558773852</v>
      </c>
      <c r="X21" s="4">
        <f ca="1" xml:space="preserve">  VAT!X$17</f>
        <v>106637.3144122615</v>
      </c>
      <c r="Y21" s="4">
        <f ca="1" xml:space="preserve">  VAT!Y$17</f>
        <v>283843.04510468</v>
      </c>
      <c r="Z21" s="4">
        <f ca="1" xml:space="preserve">  VAT!Z$17</f>
        <v>61756.954895320036</v>
      </c>
      <c r="AA21" s="4">
        <f ca="1" xml:space="preserve">  VAT!AA$17</f>
        <v>57600</v>
      </c>
      <c r="AB21" s="4">
        <f ca="1" xml:space="preserve">  VAT!AB$17</f>
        <v>115200</v>
      </c>
      <c r="AC21" s="4">
        <f ca="1" xml:space="preserve">  VAT!AC$17</f>
        <v>86400</v>
      </c>
      <c r="AD21" s="4">
        <f ca="1" xml:space="preserve">  VAT!AD$17</f>
        <v>86400</v>
      </c>
      <c r="AE21" s="4">
        <f ca="1" xml:space="preserve">  VAT!AE$17</f>
        <v>0</v>
      </c>
      <c r="AF21" s="4">
        <f ca="1" xml:space="preserve">  VAT!AF$17</f>
        <v>432000</v>
      </c>
      <c r="AG21" s="4">
        <f ca="1" xml:space="preserve">  VAT!AG$17</f>
        <v>144000</v>
      </c>
      <c r="AH21" s="4">
        <f ca="1" xml:space="preserve">  VAT!AH$17</f>
        <v>432000</v>
      </c>
      <c r="AI21" s="4">
        <f ca="1" xml:space="preserve">  VAT!AI$17</f>
        <v>498162.68558773847</v>
      </c>
      <c r="AJ21" s="4">
        <f ca="1" xml:space="preserve">  VAT!AJ$17</f>
        <v>365837.31441226153</v>
      </c>
      <c r="AK21" s="4">
        <f ca="1" xml:space="preserve">  VAT!AK$17</f>
        <v>399043.04510468</v>
      </c>
      <c r="AL21" s="4">
        <f ca="1" xml:space="preserve">  VAT!AL$17</f>
        <v>320956.95489532006</v>
      </c>
      <c r="AM21" s="4">
        <f ca="1" xml:space="preserve">  VAT!AM$17</f>
        <v>288000</v>
      </c>
      <c r="AN21" s="4">
        <f ca="1" xml:space="preserve">  VAT!AN$17</f>
        <v>288000</v>
      </c>
      <c r="AO21" s="4">
        <f ca="1" xml:space="preserve">  VAT!AO$17</f>
        <v>288000</v>
      </c>
      <c r="AP21" s="4">
        <f ca="1" xml:space="preserve">  VAT!AP$17</f>
        <v>432000</v>
      </c>
      <c r="AQ21" s="4">
        <f ca="1" xml:space="preserve">  VAT!AQ$17</f>
        <v>288000</v>
      </c>
      <c r="AR21" s="4">
        <f ca="1" xml:space="preserve">  VAT!AR$17</f>
        <v>576000</v>
      </c>
      <c r="AS21" s="4">
        <f ca="1" xml:space="preserve">  VAT!AS$17</f>
        <v>576000</v>
      </c>
      <c r="AT21" s="4">
        <f ca="1" xml:space="preserve">  VAT!AT$17</f>
        <v>576000</v>
      </c>
      <c r="AU21" s="4">
        <f ca="1" xml:space="preserve">  VAT!AU$17</f>
        <v>864000</v>
      </c>
      <c r="AV21" s="4">
        <f ca="1" xml:space="preserve">  VAT!AV$17</f>
        <v>864000</v>
      </c>
      <c r="AW21" s="4">
        <f ca="1" xml:space="preserve">  VAT!AW$17</f>
        <v>720000</v>
      </c>
      <c r="AX21" s="4">
        <f ca="1" xml:space="preserve">  VAT!AX$17</f>
        <v>1008000</v>
      </c>
      <c r="AY21" s="4">
        <f ca="1" xml:space="preserve">  VAT!AY$17</f>
        <v>864000</v>
      </c>
      <c r="AZ21" s="4">
        <f ca="1" xml:space="preserve">  VAT!AZ$17</f>
        <v>1008000</v>
      </c>
      <c r="BA21" s="4">
        <f ca="1" xml:space="preserve">  VAT!BA$17</f>
        <v>1152000</v>
      </c>
      <c r="BB21" s="4">
        <f ca="1" xml:space="preserve">  VAT!BB$17</f>
        <v>1152000</v>
      </c>
      <c r="BC21" s="4">
        <f ca="1" xml:space="preserve">  VAT!BC$17</f>
        <v>1152000</v>
      </c>
      <c r="BD21" s="4">
        <f ca="1" xml:space="preserve">  VAT!BD$17</f>
        <v>1296000.0000000002</v>
      </c>
      <c r="BE21" s="4">
        <f ca="1" xml:space="preserve">  VAT!BE$17</f>
        <v>1440000</v>
      </c>
      <c r="BF21" s="4">
        <f ca="1" xml:space="preserve">  VAT!BF$17</f>
        <v>1440000</v>
      </c>
      <c r="BG21" s="4">
        <f ca="1" xml:space="preserve">  VAT!BG$17</f>
        <v>1584000</v>
      </c>
      <c r="BH21" s="4">
        <f ca="1" xml:space="preserve">  VAT!BH$17</f>
        <v>1728000</v>
      </c>
      <c r="BI21" s="4">
        <f ca="1" xml:space="preserve">  VAT!BI$17</f>
        <v>1728000</v>
      </c>
      <c r="BJ21" s="4">
        <f ca="1" xml:space="preserve">  VAT!BJ$17</f>
        <v>2016000</v>
      </c>
      <c r="BK21" s="4">
        <f ca="1" xml:space="preserve">  VAT!BK$17</f>
        <v>1872000</v>
      </c>
      <c r="BL21" s="4">
        <f ca="1" xml:space="preserve">  VAT!BL$17</f>
        <v>2159999.9999999995</v>
      </c>
      <c r="BM21" s="4">
        <f ca="1" xml:space="preserve">  VAT!BM$17</f>
        <v>2304000.0000000005</v>
      </c>
      <c r="BN21" s="4">
        <f ca="1" xml:space="preserve">  VAT!BN$17</f>
        <v>2303999.9999999995</v>
      </c>
      <c r="BO21" s="4">
        <f ca="1" xml:space="preserve">  VAT!BO$17</f>
        <v>2592000</v>
      </c>
      <c r="BP21" s="4">
        <f ca="1" xml:space="preserve">  VAT!BP$17</f>
        <v>2592000</v>
      </c>
      <c r="BQ21" s="4">
        <f ca="1" xml:space="preserve">  VAT!BQ$17</f>
        <v>2880000</v>
      </c>
    </row>
    <row r="22" spans="1:69" outlineLevel="1">
      <c r="A22" s="34"/>
      <c r="B22" s="34"/>
      <c r="C22" s="64"/>
      <c r="D22" s="65"/>
      <c r="E22" s="21" t="s">
        <v>61</v>
      </c>
      <c r="F22" s="21"/>
      <c r="G22" s="21" t="s">
        <v>258</v>
      </c>
      <c r="H22" s="3">
        <f ca="1" xml:space="preserve"> SUM( J22:BQ22 )</f>
        <v>235353600</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172800</v>
      </c>
      <c r="N22" s="3">
        <f ca="1" xml:space="preserve">  IF( Time!N28 &lt; 1 + $F19, 0, OFFSET( N20, 0, - 1 * ( $F19 ) ) ) + IF( Time!N28 &lt; 1 + $F19, 0, OFFSET( N21, 0, - 1 * ( $F19 ) ) )</f>
        <v>172800</v>
      </c>
      <c r="O22" s="3">
        <f ca="1" xml:space="preserve">  IF( Time!O28 &lt; 1 + $F19, 0, OFFSET( O20, 0, - 1 * ( $F19 ) ) ) + IF( Time!O28 &lt; 1 + $F19, 0, OFFSET( O21, 0, - 1 * ( $F19 ) ) )</f>
        <v>172800</v>
      </c>
      <c r="P22" s="3">
        <f ca="1" xml:space="preserve">  IF( Time!P28 &lt; 1 + $F19, 0, OFFSET( P20, 0, - 1 * ( $F19 ) ) ) + IF( Time!P28 &lt; 1 + $F19, 0, OFFSET( P21, 0, - 1 * ( $F19 ) ) )</f>
        <v>172800</v>
      </c>
      <c r="Q22" s="3">
        <f ca="1" xml:space="preserve">  IF( Time!Q28 &lt; 1 + $F19, 0, OFFSET( Q20, 0, - 1 * ( $F19 ) ) ) + IF( Time!Q28 &lt; 1 + $F19, 0, OFFSET( Q21, 0, - 1 * ( $F19 ) ) )</f>
        <v>345600</v>
      </c>
      <c r="R22" s="3">
        <f ca="1" xml:space="preserve">  IF( Time!R28 &lt; 1 + $F19, 0, OFFSET( R20, 0, - 1 * ( $F19 ) ) ) + IF( Time!R28 &lt; 1 + $F19, 0, OFFSET( R21, 0, - 1 * ( $F19 ) ) )</f>
        <v>691200</v>
      </c>
      <c r="S22" s="3">
        <f ca="1" xml:space="preserve">  IF( Time!S28 &lt; 1 + $F19, 0, OFFSET( S20, 0, - 1 * ( $F19 ) ) ) + IF( Time!S28 &lt; 1 + $F19, 0, OFFSET( S21, 0, - 1 * ( $F19 ) ) )</f>
        <v>518400</v>
      </c>
      <c r="T22" s="3">
        <f ca="1" xml:space="preserve">  IF( Time!T28 &lt; 1 + $F19, 0, OFFSET( T20, 0, - 1 * ( $F19 ) ) ) + IF( Time!T28 &lt; 1 + $F19, 0, OFFSET( T21, 0, - 1 * ( $F19 ) ) )</f>
        <v>518400</v>
      </c>
      <c r="U22" s="3">
        <f ca="1" xml:space="preserve">  IF( Time!U28 &lt; 1 + $F19, 0, OFFSET( U20, 0, - 1 * ( $F19 ) ) ) + IF( Time!U28 &lt; 1 + $F19, 0, OFFSET( U21, 0, - 1 * ( $F19 ) ) )</f>
        <v>0</v>
      </c>
      <c r="V22" s="3">
        <f ca="1" xml:space="preserve">  IF( Time!V28 &lt; 1 + $F19, 0, OFFSET( V20, 0, - 1 * ( $F19 ) ) ) + IF( Time!V28 &lt; 1 + $F19, 0, OFFSET( V21, 0, - 1 * ( $F19 ) ) )</f>
        <v>1728000</v>
      </c>
      <c r="W22" s="3">
        <f ca="1" xml:space="preserve">  IF( Time!W28 &lt; 1 + $F19, 0, OFFSET( W20, 0, - 1 * ( $F19 ) ) ) + IF( Time!W28 &lt; 1 + $F19, 0, OFFSET( W21, 0, - 1 * ( $F19 ) ) )</f>
        <v>0</v>
      </c>
      <c r="X22" s="3">
        <f ca="1" xml:space="preserve">  IF( Time!X28 &lt; 1 + $F19, 0, OFFSET( X20, 0, - 1 * ( $F19 ) ) ) + IF( Time!X28 &lt; 1 + $F19, 0, OFFSET( X21, 0, - 1 * ( $F19 ) ) )</f>
        <v>1728000</v>
      </c>
      <c r="Y22" s="3">
        <f ca="1" xml:space="preserve">  IF( Time!Y28 &lt; 1 + $F19, 0, OFFSET( Y20, 0, - 1 * ( $F19 ) ) ) + IF( Time!Y28 &lt; 1 + $F19, 0, OFFSET( Y21, 0, - 1 * ( $F19 ) ) )</f>
        <v>1433776.1135264309</v>
      </c>
      <c r="Z22" s="3">
        <f ca="1" xml:space="preserve">  IF( Time!Z28 &lt; 1 + $F19, 0, OFFSET( Z20, 0, - 1 * ( $F19 ) ) ) + IF( Time!Z28 &lt; 1 + $F19, 0, OFFSET( Z21, 0, - 1 * ( $F19 ) ) )</f>
        <v>639823.88647356897</v>
      </c>
      <c r="AA22" s="3">
        <f ca="1" xml:space="preserve">  IF( Time!AA28 &lt; 1 + $F19, 0, OFFSET( AA20, 0, - 1 * ( $F19 ) ) ) + IF( Time!AA28 &lt; 1 + $F19, 0, OFFSET( AA21, 0, - 1 * ( $F19 ) ) )</f>
        <v>1703058.2706280798</v>
      </c>
      <c r="AB22" s="3">
        <f ca="1" xml:space="preserve">  IF( Time!AB28 &lt; 1 + $F19, 0, OFFSET( AB20, 0, - 1 * ( $F19 ) ) ) + IF( Time!AB28 &lt; 1 + $F19, 0, OFFSET( AB21, 0, - 1 * ( $F19 ) ) )</f>
        <v>370541.72937192023</v>
      </c>
      <c r="AC22" s="3">
        <f ca="1" xml:space="preserve">  IF( Time!AC28 &lt; 1 + $F19, 0, OFFSET( AC20, 0, - 1 * ( $F19 ) ) ) + IF( Time!AC28 &lt; 1 + $F19, 0, OFFSET( AC21, 0, - 1 * ( $F19 ) ) )</f>
        <v>345600</v>
      </c>
      <c r="AD22" s="3">
        <f ca="1" xml:space="preserve">  IF( Time!AD28 &lt; 1 + $F19, 0, OFFSET( AD20, 0, - 1 * ( $F19 ) ) ) + IF( Time!AD28 &lt; 1 + $F19, 0, OFFSET( AD21, 0, - 1 * ( $F19 ) ) )</f>
        <v>691200</v>
      </c>
      <c r="AE22" s="3">
        <f ca="1" xml:space="preserve">  IF( Time!AE28 &lt; 1 + $F19, 0, OFFSET( AE20, 0, - 1 * ( $F19 ) ) ) + IF( Time!AE28 &lt; 1 + $F19, 0, OFFSET( AE21, 0, - 1 * ( $F19 ) ) )</f>
        <v>518400</v>
      </c>
      <c r="AF22" s="3">
        <f ca="1" xml:space="preserve">  IF( Time!AF28 &lt; 1 + $F19, 0, OFFSET( AF20, 0, - 1 * ( $F19 ) ) ) + IF( Time!AF28 &lt; 1 + $F19, 0, OFFSET( AF21, 0, - 1 * ( $F19 ) ) )</f>
        <v>518400</v>
      </c>
      <c r="AG22" s="3">
        <f ca="1" xml:space="preserve">  IF( Time!AG28 &lt; 1 + $F19, 0, OFFSET( AG20, 0, - 1 * ( $F19 ) ) ) + IF( Time!AG28 &lt; 1 + $F19, 0, OFFSET( AG21, 0, - 1 * ( $F19 ) ) )</f>
        <v>0</v>
      </c>
      <c r="AH22" s="3">
        <f ca="1" xml:space="preserve">  IF( Time!AH28 &lt; 1 + $F19, 0, OFFSET( AH20, 0, - 1 * ( $F19 ) ) ) + IF( Time!AH28 &lt; 1 + $F19, 0, OFFSET( AH21, 0, - 1 * ( $F19 ) ) )</f>
        <v>2592000</v>
      </c>
      <c r="AI22" s="3">
        <f ca="1" xml:space="preserve">  IF( Time!AI28 &lt; 1 + $F19, 0, OFFSET( AI20, 0, - 1 * ( $F19 ) ) ) + IF( Time!AI28 &lt; 1 + $F19, 0, OFFSET( AI21, 0, - 1 * ( $F19 ) ) )</f>
        <v>864000</v>
      </c>
      <c r="AJ22" s="3">
        <f ca="1" xml:space="preserve">  IF( Time!AJ28 &lt; 1 + $F19, 0, OFFSET( AJ20, 0, - 1 * ( $F19 ) ) ) + IF( Time!AJ28 &lt; 1 + $F19, 0, OFFSET( AJ21, 0, - 1 * ( $F19 ) ) )</f>
        <v>2592000</v>
      </c>
      <c r="AK22" s="3">
        <f ca="1" xml:space="preserve">  IF( Time!AK28 &lt; 1 + $F19, 0, OFFSET( AK20, 0, - 1 * ( $F19 ) ) ) + IF( Time!AK28 &lt; 1 + $F19, 0, OFFSET( AK21, 0, - 1 * ( $F19 ) ) )</f>
        <v>2988976.1135264309</v>
      </c>
      <c r="AL22" s="3">
        <f ca="1" xml:space="preserve">  IF( Time!AL28 &lt; 1 + $F19, 0, OFFSET( AL20, 0, - 1 * ( $F19 ) ) ) + IF( Time!AL28 &lt; 1 + $F19, 0, OFFSET( AL21, 0, - 1 * ( $F19 ) ) )</f>
        <v>2195023.8864735691</v>
      </c>
      <c r="AM22" s="3">
        <f ca="1" xml:space="preserve">  IF( Time!AM28 &lt; 1 + $F19, 0, OFFSET( AM20, 0, - 1 * ( $F19 ) ) ) + IF( Time!AM28 &lt; 1 + $F19, 0, OFFSET( AM21, 0, - 1 * ( $F19 ) ) )</f>
        <v>2394258.2706280798</v>
      </c>
      <c r="AN22" s="3">
        <f ca="1" xml:space="preserve">  IF( Time!AN28 &lt; 1 + $F19, 0, OFFSET( AN20, 0, - 1 * ( $F19 ) ) ) + IF( Time!AN28 &lt; 1 + $F19, 0, OFFSET( AN21, 0, - 1 * ( $F19 ) ) )</f>
        <v>1925741.7293719202</v>
      </c>
      <c r="AO22" s="3">
        <f ca="1" xml:space="preserve">  IF( Time!AO28 &lt; 1 + $F19, 0, OFFSET( AO20, 0, - 1 * ( $F19 ) ) ) + IF( Time!AO28 &lt; 1 + $F19, 0, OFFSET( AO21, 0, - 1 * ( $F19 ) ) )</f>
        <v>1728000</v>
      </c>
      <c r="AP22" s="3">
        <f ca="1" xml:space="preserve">  IF( Time!AP28 &lt; 1 + $F19, 0, OFFSET( AP20, 0, - 1 * ( $F19 ) ) ) + IF( Time!AP28 &lt; 1 + $F19, 0, OFFSET( AP21, 0, - 1 * ( $F19 ) ) )</f>
        <v>1728000</v>
      </c>
      <c r="AQ22" s="3">
        <f ca="1" xml:space="preserve">  IF( Time!AQ28 &lt; 1 + $F19, 0, OFFSET( AQ20, 0, - 1 * ( $F19 ) ) ) + IF( Time!AQ28 &lt; 1 + $F19, 0, OFFSET( AQ21, 0, - 1 * ( $F19 ) ) )</f>
        <v>1728000</v>
      </c>
      <c r="AR22" s="3">
        <f ca="1" xml:space="preserve">  IF( Time!AR28 &lt; 1 + $F19, 0, OFFSET( AR20, 0, - 1 * ( $F19 ) ) ) + IF( Time!AR28 &lt; 1 + $F19, 0, OFFSET( AR21, 0, - 1 * ( $F19 ) ) )</f>
        <v>2592000</v>
      </c>
      <c r="AS22" s="3">
        <f ca="1" xml:space="preserve">  IF( Time!AS28 &lt; 1 + $F19, 0, OFFSET( AS20, 0, - 1 * ( $F19 ) ) ) + IF( Time!AS28 &lt; 1 + $F19, 0, OFFSET( AS21, 0, - 1 * ( $F19 ) ) )</f>
        <v>1728000</v>
      </c>
      <c r="AT22" s="3">
        <f ca="1" xml:space="preserve">  IF( Time!AT28 &lt; 1 + $F19, 0, OFFSET( AT20, 0, - 1 * ( $F19 ) ) ) + IF( Time!AT28 &lt; 1 + $F19, 0, OFFSET( AT21, 0, - 1 * ( $F19 ) ) )</f>
        <v>3456000</v>
      </c>
      <c r="AU22" s="3">
        <f ca="1" xml:space="preserve">  IF( Time!AU28 &lt; 1 + $F19, 0, OFFSET( AU20, 0, - 1 * ( $F19 ) ) ) + IF( Time!AU28 &lt; 1 + $F19, 0, OFFSET( AU21, 0, - 1 * ( $F19 ) ) )</f>
        <v>3456000</v>
      </c>
      <c r="AV22" s="3">
        <f ca="1" xml:space="preserve">  IF( Time!AV28 &lt; 1 + $F19, 0, OFFSET( AV20, 0, - 1 * ( $F19 ) ) ) + IF( Time!AV28 &lt; 1 + $F19, 0, OFFSET( AV21, 0, - 1 * ( $F19 ) ) )</f>
        <v>3456000</v>
      </c>
      <c r="AW22" s="3">
        <f ca="1" xml:space="preserve">  IF( Time!AW28 &lt; 1 + $F19, 0, OFFSET( AW20, 0, - 1 * ( $F19 ) ) ) + IF( Time!AW28 &lt; 1 + $F19, 0, OFFSET( AW21, 0, - 1 * ( $F19 ) ) )</f>
        <v>5184000</v>
      </c>
      <c r="AX22" s="3">
        <f ca="1" xml:space="preserve">  IF( Time!AX28 &lt; 1 + $F19, 0, OFFSET( AX20, 0, - 1 * ( $F19 ) ) ) + IF( Time!AX28 &lt; 1 + $F19, 0, OFFSET( AX21, 0, - 1 * ( $F19 ) ) )</f>
        <v>5184000</v>
      </c>
      <c r="AY22" s="3">
        <f ca="1" xml:space="preserve">  IF( Time!AY28 &lt; 1 + $F19, 0, OFFSET( AY20, 0, - 1 * ( $F19 ) ) ) + IF( Time!AY28 &lt; 1 + $F19, 0, OFFSET( AY21, 0, - 1 * ( $F19 ) ) )</f>
        <v>4320000</v>
      </c>
      <c r="AZ22" s="3">
        <f ca="1" xml:space="preserve">  IF( Time!AZ28 &lt; 1 + $F19, 0, OFFSET( AZ20, 0, - 1 * ( $F19 ) ) ) + IF( Time!AZ28 &lt; 1 + $F19, 0, OFFSET( AZ21, 0, - 1 * ( $F19 ) ) )</f>
        <v>6048000</v>
      </c>
      <c r="BA22" s="3">
        <f ca="1" xml:space="preserve">  IF( Time!BA28 &lt; 1 + $F19, 0, OFFSET( BA20, 0, - 1 * ( $F19 ) ) ) + IF( Time!BA28 &lt; 1 + $F19, 0, OFFSET( BA21, 0, - 1 * ( $F19 ) ) )</f>
        <v>5184000</v>
      </c>
      <c r="BB22" s="3">
        <f ca="1" xml:space="preserve">  IF( Time!BB28 &lt; 1 + $F19, 0, OFFSET( BB20, 0, - 1 * ( $F19 ) ) ) + IF( Time!BB28 &lt; 1 + $F19, 0, OFFSET( BB21, 0, - 1 * ( $F19 ) ) )</f>
        <v>6048000</v>
      </c>
      <c r="BC22" s="3">
        <f ca="1" xml:space="preserve">  IF( Time!BC28 &lt; 1 + $F19, 0, OFFSET( BC20, 0, - 1 * ( $F19 ) ) ) + IF( Time!BC28 &lt; 1 + $F19, 0, OFFSET( BC21, 0, - 1 * ( $F19 ) ) )</f>
        <v>6912000</v>
      </c>
      <c r="BD22" s="3">
        <f ca="1" xml:space="preserve">  IF( Time!BD28 &lt; 1 + $F19, 0, OFFSET( BD20, 0, - 1 * ( $F19 ) ) ) + IF( Time!BD28 &lt; 1 + $F19, 0, OFFSET( BD21, 0, - 1 * ( $F19 ) ) )</f>
        <v>6912000</v>
      </c>
      <c r="BE22" s="3">
        <f ca="1" xml:space="preserve">  IF( Time!BE28 &lt; 1 + $F19, 0, OFFSET( BE20, 0, - 1 * ( $F19 ) ) ) + IF( Time!BE28 &lt; 1 + $F19, 0, OFFSET( BE21, 0, - 1 * ( $F19 ) ) )</f>
        <v>6912000</v>
      </c>
      <c r="BF22" s="3">
        <f ca="1" xml:space="preserve">  IF( Time!BF28 &lt; 1 + $F19, 0, OFFSET( BF20, 0, - 1 * ( $F19 ) ) ) + IF( Time!BF28 &lt; 1 + $F19, 0, OFFSET( BF21, 0, - 1 * ( $F19 ) ) )</f>
        <v>7776000.0000000009</v>
      </c>
      <c r="BG22" s="3">
        <f ca="1" xml:space="preserve">  IF( Time!BG28 &lt; 1 + $F19, 0, OFFSET( BG20, 0, - 1 * ( $F19 ) ) ) + IF( Time!BG28 &lt; 1 + $F19, 0, OFFSET( BG21, 0, - 1 * ( $F19 ) ) )</f>
        <v>8640000</v>
      </c>
      <c r="BH22" s="3">
        <f ca="1" xml:space="preserve">  IF( Time!BH28 &lt; 1 + $F19, 0, OFFSET( BH20, 0, - 1 * ( $F19 ) ) ) + IF( Time!BH28 &lt; 1 + $F19, 0, OFFSET( BH21, 0, - 1 * ( $F19 ) ) )</f>
        <v>8640000</v>
      </c>
      <c r="BI22" s="3">
        <f ca="1" xml:space="preserve">  IF( Time!BI28 &lt; 1 + $F19, 0, OFFSET( BI20, 0, - 1 * ( $F19 ) ) ) + IF( Time!BI28 &lt; 1 + $F19, 0, OFFSET( BI21, 0, - 1 * ( $F19 ) ) )</f>
        <v>9504000</v>
      </c>
      <c r="BJ22" s="3">
        <f ca="1" xml:space="preserve">  IF( Time!BJ28 &lt; 1 + $F19, 0, OFFSET( BJ20, 0, - 1 * ( $F19 ) ) ) + IF( Time!BJ28 &lt; 1 + $F19, 0, OFFSET( BJ21, 0, - 1 * ( $F19 ) ) )</f>
        <v>10368000</v>
      </c>
      <c r="BK22" s="3">
        <f ca="1" xml:space="preserve">  IF( Time!BK28 &lt; 1 + $F19, 0, OFFSET( BK20, 0, - 1 * ( $F19 ) ) ) + IF( Time!BK28 &lt; 1 + $F19, 0, OFFSET( BK21, 0, - 1 * ( $F19 ) ) )</f>
        <v>10368000</v>
      </c>
      <c r="BL22" s="3">
        <f ca="1" xml:space="preserve">  IF( Time!BL28 &lt; 1 + $F19, 0, OFFSET( BL20, 0, - 1 * ( $F19 ) ) ) + IF( Time!BL28 &lt; 1 + $F19, 0, OFFSET( BL21, 0, - 1 * ( $F19 ) ) )</f>
        <v>12096000</v>
      </c>
      <c r="BM22" s="3">
        <f ca="1" xml:space="preserve">  IF( Time!BM28 &lt; 1 + $F19, 0, OFFSET( BM20, 0, - 1 * ( $F19 ) ) ) + IF( Time!BM28 &lt; 1 + $F19, 0, OFFSET( BM21, 0, - 1 * ( $F19 ) ) )</f>
        <v>11232000</v>
      </c>
      <c r="BN22" s="3">
        <f ca="1" xml:space="preserve">  IF( Time!BN28 &lt; 1 + $F19, 0, OFFSET( BN20, 0, - 1 * ( $F19 ) ) ) + IF( Time!BN28 &lt; 1 + $F19, 0, OFFSET( BN21, 0, - 1 * ( $F19 ) ) )</f>
        <v>12959999.999999998</v>
      </c>
      <c r="BO22" s="3">
        <f ca="1" xml:space="preserve">  IF( Time!BO28 &lt; 1 + $F19, 0, OFFSET( BO20, 0, - 1 * ( $F19 ) ) ) + IF( Time!BO28 &lt; 1 + $F19, 0, OFFSET( BO21, 0, - 1 * ( $F19 ) ) )</f>
        <v>13824000.000000002</v>
      </c>
      <c r="BP22" s="3">
        <f ca="1" xml:space="preserve">  IF( Time!BP28 &lt; 1 + $F19, 0, OFFSET( BP20, 0, - 1 * ( $F19 ) ) ) + IF( Time!BP28 &lt; 1 + $F19, 0, OFFSET( BP21, 0, - 1 * ( $F19 ) ) )</f>
        <v>13823999.999999996</v>
      </c>
      <c r="BQ22" s="3">
        <f ca="1" xml:space="preserve">  IF( Time!BQ28 &lt; 1 + $F19, 0, OFFSET( BQ20, 0, - 1 * ( $F19 ) ) ) + IF( Time!BQ28 &lt; 1 + $F19, 0, OFFSET( BQ21, 0, - 1 * ( $F19 ) ) )</f>
        <v>15552000</v>
      </c>
    </row>
    <row r="25" spans="1:69">
      <c r="B25" s="25" t="s">
        <v>302</v>
      </c>
    </row>
    <row r="26" spans="1:69" s="82" customFormat="1">
      <c r="A26" s="59"/>
      <c r="B26" s="59"/>
      <c r="C26" s="87"/>
      <c r="D26" s="84"/>
      <c r="E26" s="40" t="str">
        <f xml:space="preserve">  InpC!E$52</f>
        <v>Opening Creditors</v>
      </c>
      <c r="F26" s="40">
        <f xml:space="preserve">  InpC!F$52</f>
        <v>0</v>
      </c>
      <c r="G26" s="40" t="str">
        <f xml:space="preserve">  InpC!G$52</f>
        <v>GBP</v>
      </c>
      <c r="M26" s="80"/>
    </row>
    <row r="27" spans="1:69">
      <c r="A27" s="18"/>
      <c r="B27" s="18"/>
      <c r="C27" s="28"/>
      <c r="D27" s="27"/>
      <c r="E27" s="9" t="str">
        <f xml:space="preserve">  Time!E$28</f>
        <v>Period number</v>
      </c>
      <c r="F27" s="9">
        <f xml:space="preserve">  Time!F$28</f>
        <v>0</v>
      </c>
      <c r="G27" s="9" t="str">
        <f xml:space="preserve">  Time!G$28</f>
        <v>Counter</v>
      </c>
      <c r="H27" s="9">
        <f xml:space="preserve">  Time!H$28</f>
        <v>0</v>
      </c>
      <c r="I27" s="9">
        <f xml:space="preserve">  Time!I$28</f>
        <v>0</v>
      </c>
      <c r="J27" s="9">
        <f xml:space="preserve">  Time!J$28</f>
        <v>1</v>
      </c>
      <c r="K27" s="9">
        <f xml:space="preserve">  Time!K$28</f>
        <v>2</v>
      </c>
      <c r="L27" s="9">
        <f xml:space="preserve">  Time!L$28</f>
        <v>3</v>
      </c>
      <c r="M27" s="9">
        <f xml:space="preserve">  Time!M$28</f>
        <v>4</v>
      </c>
      <c r="N27" s="9">
        <f xml:space="preserve">  Time!N$28</f>
        <v>5</v>
      </c>
      <c r="O27" s="9">
        <f xml:space="preserve">  Time!O$28</f>
        <v>6</v>
      </c>
      <c r="P27" s="9">
        <f xml:space="preserve">  Time!P$28</f>
        <v>7</v>
      </c>
      <c r="Q27" s="9">
        <f xml:space="preserve">  Time!Q$28</f>
        <v>8</v>
      </c>
      <c r="R27" s="9">
        <f xml:space="preserve">  Time!R$28</f>
        <v>9</v>
      </c>
      <c r="S27" s="9">
        <f xml:space="preserve">  Time!S$28</f>
        <v>10</v>
      </c>
      <c r="T27" s="9">
        <f xml:space="preserve">  Time!T$28</f>
        <v>11</v>
      </c>
      <c r="U27" s="9">
        <f xml:space="preserve">  Time!U$28</f>
        <v>12</v>
      </c>
      <c r="V27" s="9">
        <f xml:space="preserve">  Time!V$28</f>
        <v>13</v>
      </c>
      <c r="W27" s="9">
        <f xml:space="preserve">  Time!W$28</f>
        <v>14</v>
      </c>
      <c r="X27" s="9">
        <f xml:space="preserve">  Time!X$28</f>
        <v>15</v>
      </c>
      <c r="Y27" s="9">
        <f xml:space="preserve">  Time!Y$28</f>
        <v>16</v>
      </c>
      <c r="Z27" s="9">
        <f xml:space="preserve">  Time!Z$28</f>
        <v>17</v>
      </c>
      <c r="AA27" s="9">
        <f xml:space="preserve">  Time!AA$28</f>
        <v>18</v>
      </c>
      <c r="AB27" s="9">
        <f xml:space="preserve">  Time!AB$28</f>
        <v>19</v>
      </c>
      <c r="AC27" s="9">
        <f xml:space="preserve">  Time!AC$28</f>
        <v>20</v>
      </c>
      <c r="AD27" s="9">
        <f xml:space="preserve">  Time!AD$28</f>
        <v>21</v>
      </c>
      <c r="AE27" s="9">
        <f xml:space="preserve">  Time!AE$28</f>
        <v>22</v>
      </c>
      <c r="AF27" s="9">
        <f xml:space="preserve">  Time!AF$28</f>
        <v>23</v>
      </c>
      <c r="AG27" s="9">
        <f xml:space="preserve">  Time!AG$28</f>
        <v>24</v>
      </c>
      <c r="AH27" s="9">
        <f xml:space="preserve">  Time!AH$28</f>
        <v>25</v>
      </c>
      <c r="AI27" s="9">
        <f xml:space="preserve">  Time!AI$28</f>
        <v>26</v>
      </c>
      <c r="AJ27" s="9">
        <f xml:space="preserve">  Time!AJ$28</f>
        <v>27</v>
      </c>
      <c r="AK27" s="9">
        <f xml:space="preserve">  Time!AK$28</f>
        <v>28</v>
      </c>
      <c r="AL27" s="9">
        <f xml:space="preserve">  Time!AL$28</f>
        <v>29</v>
      </c>
      <c r="AM27" s="9">
        <f xml:space="preserve">  Time!AM$28</f>
        <v>30</v>
      </c>
      <c r="AN27" s="9">
        <f xml:space="preserve">  Time!AN$28</f>
        <v>31</v>
      </c>
      <c r="AO27" s="9">
        <f xml:space="preserve">  Time!AO$28</f>
        <v>32</v>
      </c>
      <c r="AP27" s="9">
        <f xml:space="preserve">  Time!AP$28</f>
        <v>33</v>
      </c>
      <c r="AQ27" s="9">
        <f xml:space="preserve">  Time!AQ$28</f>
        <v>34</v>
      </c>
      <c r="AR27" s="9">
        <f xml:space="preserve">  Time!AR$28</f>
        <v>35</v>
      </c>
      <c r="AS27" s="9">
        <f xml:space="preserve">  Time!AS$28</f>
        <v>36</v>
      </c>
      <c r="AT27" s="9">
        <f xml:space="preserve">  Time!AT$28</f>
        <v>37</v>
      </c>
      <c r="AU27" s="9">
        <f xml:space="preserve">  Time!AU$28</f>
        <v>38</v>
      </c>
      <c r="AV27" s="9">
        <f xml:space="preserve">  Time!AV$28</f>
        <v>39</v>
      </c>
      <c r="AW27" s="9">
        <f xml:space="preserve">  Time!AW$28</f>
        <v>40</v>
      </c>
      <c r="AX27" s="9">
        <f xml:space="preserve">  Time!AX$28</f>
        <v>41</v>
      </c>
      <c r="AY27" s="9">
        <f xml:space="preserve">  Time!AY$28</f>
        <v>42</v>
      </c>
      <c r="AZ27" s="9">
        <f xml:space="preserve">  Time!AZ$28</f>
        <v>43</v>
      </c>
      <c r="BA27" s="9">
        <f xml:space="preserve">  Time!BA$28</f>
        <v>44</v>
      </c>
      <c r="BB27" s="9">
        <f xml:space="preserve">  Time!BB$28</f>
        <v>45</v>
      </c>
      <c r="BC27" s="9">
        <f xml:space="preserve">  Time!BC$28</f>
        <v>46</v>
      </c>
      <c r="BD27" s="9">
        <f xml:space="preserve">  Time!BD$28</f>
        <v>47</v>
      </c>
      <c r="BE27" s="9">
        <f xml:space="preserve">  Time!BE$28</f>
        <v>48</v>
      </c>
      <c r="BF27" s="9">
        <f xml:space="preserve">  Time!BF$28</f>
        <v>49</v>
      </c>
      <c r="BG27" s="9">
        <f xml:space="preserve">  Time!BG$28</f>
        <v>50</v>
      </c>
      <c r="BH27" s="9">
        <f xml:space="preserve">  Time!BH$28</f>
        <v>51</v>
      </c>
      <c r="BI27" s="9">
        <f xml:space="preserve">  Time!BI$28</f>
        <v>52</v>
      </c>
      <c r="BJ27" s="9">
        <f xml:space="preserve">  Time!BJ$28</f>
        <v>53</v>
      </c>
      <c r="BK27" s="9">
        <f xml:space="preserve">  Time!BK$28</f>
        <v>54</v>
      </c>
      <c r="BL27" s="9">
        <f xml:space="preserve">  Time!BL$28</f>
        <v>55</v>
      </c>
      <c r="BM27" s="9">
        <f xml:space="preserve">  Time!BM$28</f>
        <v>56</v>
      </c>
      <c r="BN27" s="9">
        <f xml:space="preserve">  Time!BN$28</f>
        <v>57</v>
      </c>
      <c r="BO27" s="9">
        <f xml:space="preserve">  Time!BO$28</f>
        <v>58</v>
      </c>
      <c r="BP27" s="9">
        <f xml:space="preserve">  Time!BP$28</f>
        <v>59</v>
      </c>
      <c r="BQ27" s="9">
        <f xml:space="preserve">  Time!BQ$28</f>
        <v>60</v>
      </c>
    </row>
    <row r="28" spans="1:69">
      <c r="E28" s="47" t="s">
        <v>203</v>
      </c>
      <c r="G28" s="47" t="s">
        <v>258</v>
      </c>
      <c r="J28" s="2">
        <f t="shared" ref="J28:BQ28" si="2" xml:space="preserve">  I36</f>
        <v>0</v>
      </c>
      <c r="K28" s="2">
        <f t="shared" ca="1" si="2"/>
        <v>0</v>
      </c>
      <c r="L28" s="2">
        <f t="shared" ca="1" si="2"/>
        <v>0</v>
      </c>
      <c r="M28" s="2">
        <f t="shared" ca="1" si="2"/>
        <v>315000</v>
      </c>
      <c r="N28" s="2">
        <f t="shared" ca="1" si="2"/>
        <v>630000</v>
      </c>
      <c r="O28" s="2">
        <f t="shared" ca="1" si="2"/>
        <v>945000</v>
      </c>
      <c r="P28" s="2">
        <f t="shared" ca="1" si="2"/>
        <v>945000</v>
      </c>
      <c r="Q28" s="2">
        <f t="shared" ca="1" si="2"/>
        <v>1259999.9999999998</v>
      </c>
      <c r="R28" s="2">
        <f t="shared" ca="1" si="2"/>
        <v>1259999.9999999995</v>
      </c>
      <c r="S28" s="2">
        <f t="shared" ca="1" si="2"/>
        <v>1280999.9999999993</v>
      </c>
      <c r="T28" s="2">
        <f t="shared" ca="1" si="2"/>
        <v>986999.9999999993</v>
      </c>
      <c r="U28" s="2">
        <f t="shared" ca="1" si="2"/>
        <v>692999.9999999993</v>
      </c>
      <c r="V28" s="2">
        <f t="shared" ca="1" si="2"/>
        <v>692999.9999999993</v>
      </c>
      <c r="W28" s="2">
        <f t="shared" ca="1" si="2"/>
        <v>398999.99999999942</v>
      </c>
      <c r="X28" s="2">
        <f t="shared" ca="1" si="2"/>
        <v>398999.99999999942</v>
      </c>
      <c r="Y28" s="2">
        <f t="shared" ca="1" si="2"/>
        <v>104999.99999999948</v>
      </c>
      <c r="Z28" s="2">
        <f t="shared" ca="1" si="2"/>
        <v>262499.99999999948</v>
      </c>
      <c r="AA28" s="2">
        <f t="shared" ca="1" si="2"/>
        <v>419999.99999999942</v>
      </c>
      <c r="AB28" s="2">
        <f t="shared" ca="1" si="2"/>
        <v>577499.9999999993</v>
      </c>
      <c r="AC28" s="2">
        <f t="shared" ca="1" si="2"/>
        <v>892499.9999999993</v>
      </c>
      <c r="AD28" s="2">
        <f t="shared" ca="1" si="2"/>
        <v>1207499.9999999991</v>
      </c>
      <c r="AE28" s="2">
        <f t="shared" ca="1" si="2"/>
        <v>1364999.9999999993</v>
      </c>
      <c r="AF28" s="2">
        <f t="shared" ca="1" si="2"/>
        <v>1532999.9999999995</v>
      </c>
      <c r="AG28" s="2">
        <f t="shared" ca="1" si="2"/>
        <v>1700999.9999999995</v>
      </c>
      <c r="AH28" s="2">
        <f t="shared" ca="1" si="2"/>
        <v>1868999.9999999995</v>
      </c>
      <c r="AI28" s="2">
        <f t="shared" ca="1" si="2"/>
        <v>1889999.9999999995</v>
      </c>
      <c r="AJ28" s="2">
        <f t="shared" ca="1" si="2"/>
        <v>2068500</v>
      </c>
      <c r="AK28" s="2">
        <f t="shared" ca="1" si="2"/>
        <v>2236500</v>
      </c>
      <c r="AL28" s="2">
        <f t="shared" ca="1" si="2"/>
        <v>2415000.0000000005</v>
      </c>
      <c r="AM28" s="2">
        <f t="shared" ca="1" si="2"/>
        <v>2593500.0000000005</v>
      </c>
      <c r="AN28" s="2">
        <f t="shared" ca="1" si="2"/>
        <v>2772000.0000000005</v>
      </c>
      <c r="AO28" s="2">
        <f t="shared" ca="1" si="2"/>
        <v>3108000.0000000005</v>
      </c>
      <c r="AP28" s="2">
        <f t="shared" ca="1" si="2"/>
        <v>3297000.0000000005</v>
      </c>
      <c r="AQ28" s="2">
        <f t="shared" ca="1" si="2"/>
        <v>3633000.0000000005</v>
      </c>
      <c r="AR28" s="2">
        <f t="shared" ca="1" si="2"/>
        <v>3979500.0000000005</v>
      </c>
      <c r="AS28" s="2">
        <f t="shared" ca="1" si="2"/>
        <v>4168499.9999999995</v>
      </c>
      <c r="AT28" s="2">
        <f t="shared" ca="1" si="2"/>
        <v>4515000</v>
      </c>
      <c r="AU28" s="2">
        <f t="shared" ca="1" si="2"/>
        <v>4872000</v>
      </c>
      <c r="AV28" s="2">
        <f t="shared" ca="1" si="2"/>
        <v>5071500</v>
      </c>
      <c r="AW28" s="2">
        <f t="shared" ca="1" si="2"/>
        <v>5428499.9999999991</v>
      </c>
      <c r="AX28" s="2">
        <f t="shared" ca="1" si="2"/>
        <v>5638499.9999999981</v>
      </c>
      <c r="AY28" s="2">
        <f t="shared" ca="1" si="2"/>
        <v>6152999.9999999972</v>
      </c>
      <c r="AZ28" s="2">
        <f t="shared" ca="1" si="2"/>
        <v>6520499.9999999972</v>
      </c>
      <c r="BA28" s="2">
        <f t="shared" ca="1" si="2"/>
        <v>6740999.9999999981</v>
      </c>
      <c r="BB28" s="2">
        <f t="shared" ca="1" si="2"/>
        <v>7265999.9999999981</v>
      </c>
      <c r="BC28" s="2">
        <f t="shared" ca="1" si="2"/>
        <v>7643999.9999999991</v>
      </c>
      <c r="BD28" s="2">
        <f t="shared" ca="1" si="2"/>
        <v>8179500.0000000019</v>
      </c>
      <c r="BE28" s="2">
        <f t="shared" ca="1" si="2"/>
        <v>8568000.0000000037</v>
      </c>
      <c r="BF28" s="2">
        <f t="shared" ca="1" si="2"/>
        <v>9114000.0000000037</v>
      </c>
      <c r="BG28" s="2">
        <f t="shared" ca="1" si="2"/>
        <v>9660000.0000000037</v>
      </c>
      <c r="BH28" s="2">
        <f t="shared" ca="1" si="2"/>
        <v>10216500.000000004</v>
      </c>
      <c r="BI28" s="2">
        <f t="shared" ca="1" si="2"/>
        <v>10930500.000000002</v>
      </c>
      <c r="BJ28" s="2">
        <f t="shared" ca="1" si="2"/>
        <v>11497500.000000002</v>
      </c>
      <c r="BK28" s="2">
        <f t="shared" ca="1" si="2"/>
        <v>12222000</v>
      </c>
      <c r="BL28" s="2">
        <f t="shared" ca="1" si="2"/>
        <v>12957000</v>
      </c>
      <c r="BM28" s="2">
        <f t="shared" ca="1" si="2"/>
        <v>13849500.000000002</v>
      </c>
      <c r="BN28" s="2">
        <f t="shared" ca="1" si="2"/>
        <v>14595000</v>
      </c>
      <c r="BO28" s="2">
        <f t="shared" ca="1" si="2"/>
        <v>15508500</v>
      </c>
      <c r="BP28" s="2">
        <f t="shared" ca="1" si="2"/>
        <v>16422000</v>
      </c>
      <c r="BQ28" s="2">
        <f t="shared" ca="1" si="2"/>
        <v>17503500</v>
      </c>
    </row>
    <row r="29" spans="1:69">
      <c r="A29" s="18"/>
      <c r="B29" s="18"/>
      <c r="C29" s="28"/>
      <c r="D29" s="27" t="s">
        <v>219</v>
      </c>
      <c r="E29" s="4" t="str">
        <f xml:space="preserve">  Financials!E$18</f>
        <v>Supplier Invoices</v>
      </c>
      <c r="F29" s="4">
        <f xml:space="preserve">  Financials!F$18</f>
        <v>0</v>
      </c>
      <c r="G29" s="4" t="str">
        <f xml:space="preserve">  Financials!G$18</f>
        <v>GBP</v>
      </c>
      <c r="H29" s="4">
        <f ca="1" xml:space="preserve">  Financials!H$18</f>
        <v>57400000</v>
      </c>
      <c r="I29" s="4">
        <f xml:space="preserve">  Financials!I$18</f>
        <v>0</v>
      </c>
      <c r="J29" s="4">
        <f xml:space="preserve">  Financials!J$18</f>
        <v>0</v>
      </c>
      <c r="K29" s="4">
        <f xml:space="preserve">  Financials!K$18</f>
        <v>0</v>
      </c>
      <c r="L29" s="4">
        <f xml:space="preserve">  Financials!L$18</f>
        <v>350000</v>
      </c>
      <c r="M29" s="4">
        <f xml:space="preserve">  Financials!M$18</f>
        <v>350000</v>
      </c>
      <c r="N29" s="4">
        <f xml:space="preserve">  Financials!N$18</f>
        <v>350000</v>
      </c>
      <c r="O29" s="4">
        <f xml:space="preserve">  Financials!O$18</f>
        <v>0</v>
      </c>
      <c r="P29" s="4">
        <f xml:space="preserve">  Financials!P$18</f>
        <v>350000</v>
      </c>
      <c r="Q29" s="4">
        <f xml:space="preserve">  Financials!Q$18</f>
        <v>0</v>
      </c>
      <c r="R29" s="4">
        <f xml:space="preserve">  Financials!R$18</f>
        <v>350000</v>
      </c>
      <c r="S29" s="4">
        <f xml:space="preserve">  Financials!S$18</f>
        <v>0</v>
      </c>
      <c r="T29" s="4">
        <f xml:space="preserve">  Financials!T$18</f>
        <v>0</v>
      </c>
      <c r="U29" s="4">
        <f xml:space="preserve">  Financials!U$18</f>
        <v>0</v>
      </c>
      <c r="V29" s="4">
        <f ca="1" xml:space="preserve">  Financials!V$18</f>
        <v>0</v>
      </c>
      <c r="W29" s="4">
        <f ca="1" xml:space="preserve">  Financials!W$18</f>
        <v>0</v>
      </c>
      <c r="X29" s="4">
        <f ca="1" xml:space="preserve">  Financials!X$18</f>
        <v>0</v>
      </c>
      <c r="Y29" s="4">
        <f ca="1" xml:space="preserve">  Financials!Y$18</f>
        <v>175000</v>
      </c>
      <c r="Z29" s="4">
        <f ca="1" xml:space="preserve">  Financials!Z$18</f>
        <v>175000</v>
      </c>
      <c r="AA29" s="4">
        <f ca="1" xml:space="preserve">  Financials!AA$18</f>
        <v>175000</v>
      </c>
      <c r="AB29" s="4">
        <f ca="1" xml:space="preserve">  Financials!AB$18</f>
        <v>350000</v>
      </c>
      <c r="AC29" s="4">
        <f ca="1" xml:space="preserve">  Financials!AC$18</f>
        <v>350000</v>
      </c>
      <c r="AD29" s="4">
        <f ca="1" xml:space="preserve">  Financials!AD$18</f>
        <v>175000</v>
      </c>
      <c r="AE29" s="4">
        <f ca="1" xml:space="preserve">  Financials!AE$18</f>
        <v>350000</v>
      </c>
      <c r="AF29" s="4">
        <f ca="1" xml:space="preserve">  Financials!AF$18</f>
        <v>350000</v>
      </c>
      <c r="AG29" s="4">
        <f ca="1" xml:space="preserve">  Financials!AG$18</f>
        <v>350000</v>
      </c>
      <c r="AH29" s="4">
        <f ca="1" xml:space="preserve">  Financials!AH$18</f>
        <v>350000</v>
      </c>
      <c r="AI29" s="4">
        <f ca="1" xml:space="preserve">  Financials!AI$18</f>
        <v>525000</v>
      </c>
      <c r="AJ29" s="4">
        <f ca="1" xml:space="preserve">  Financials!AJ$18</f>
        <v>350000</v>
      </c>
      <c r="AK29" s="4">
        <f ca="1" xml:space="preserve">  Financials!AK$18</f>
        <v>525000</v>
      </c>
      <c r="AL29" s="4">
        <f ca="1" xml:space="preserve">  Financials!AL$18</f>
        <v>525000</v>
      </c>
      <c r="AM29" s="4">
        <f ca="1" xml:space="preserve">  Financials!AM$18</f>
        <v>525000</v>
      </c>
      <c r="AN29" s="4">
        <f ca="1" xml:space="preserve">  Financials!AN$18</f>
        <v>700000</v>
      </c>
      <c r="AO29" s="4">
        <f ca="1" xml:space="preserve">  Financials!AO$18</f>
        <v>700000</v>
      </c>
      <c r="AP29" s="4">
        <f ca="1" xml:space="preserve">  Financials!AP$18</f>
        <v>700000</v>
      </c>
      <c r="AQ29" s="4">
        <f ca="1" xml:space="preserve">  Financials!AQ$18</f>
        <v>875000</v>
      </c>
      <c r="AR29" s="4">
        <f ca="1" xml:space="preserve">  Financials!AR$18</f>
        <v>700000</v>
      </c>
      <c r="AS29" s="4">
        <f ca="1" xml:space="preserve">  Financials!AS$18</f>
        <v>875000</v>
      </c>
      <c r="AT29" s="4">
        <f ca="1" xml:space="preserve">  Financials!AT$18</f>
        <v>1050000</v>
      </c>
      <c r="AU29" s="4">
        <f ca="1" xml:space="preserve">  Financials!AU$18</f>
        <v>875000</v>
      </c>
      <c r="AV29" s="4">
        <f ca="1" xml:space="preserve">  Financials!AV$18</f>
        <v>1050000</v>
      </c>
      <c r="AW29" s="4">
        <f ca="1" xml:space="preserve">  Financials!AW$18</f>
        <v>1050000</v>
      </c>
      <c r="AX29" s="4">
        <f ca="1" xml:space="preserve">  Financials!AX$18</f>
        <v>1225000</v>
      </c>
      <c r="AY29" s="4">
        <f ca="1" xml:space="preserve">  Financials!AY$18</f>
        <v>1225000</v>
      </c>
      <c r="AZ29" s="4">
        <f ca="1" xml:space="preserve">  Financials!AZ$18</f>
        <v>1225000</v>
      </c>
      <c r="BA29" s="4">
        <f ca="1" xml:space="preserve">  Financials!BA$18</f>
        <v>1400000</v>
      </c>
      <c r="BB29" s="4">
        <f ca="1" xml:space="preserve">  Financials!BB$18</f>
        <v>1400000</v>
      </c>
      <c r="BC29" s="4">
        <f ca="1" xml:space="preserve">  Financials!BC$18</f>
        <v>1575000</v>
      </c>
      <c r="BD29" s="4">
        <f ca="1" xml:space="preserve">  Financials!BD$18</f>
        <v>1575000</v>
      </c>
      <c r="BE29" s="4">
        <f ca="1" xml:space="preserve">  Financials!BE$18</f>
        <v>1750000</v>
      </c>
      <c r="BF29" s="4">
        <f ca="1" xml:space="preserve">  Financials!BF$18</f>
        <v>1750000</v>
      </c>
      <c r="BG29" s="4">
        <f ca="1" xml:space="preserve">  Financials!BG$18</f>
        <v>1925000</v>
      </c>
      <c r="BH29" s="4">
        <f ca="1" xml:space="preserve">  Financials!BH$18</f>
        <v>2100000</v>
      </c>
      <c r="BI29" s="4">
        <f ca="1" xml:space="preserve">  Financials!BI$18</f>
        <v>2100000</v>
      </c>
      <c r="BJ29" s="4">
        <f ca="1" xml:space="preserve">  Financials!BJ$18</f>
        <v>2275000</v>
      </c>
      <c r="BK29" s="4">
        <f ca="1" xml:space="preserve">  Financials!BK$18</f>
        <v>2450000</v>
      </c>
      <c r="BL29" s="4">
        <f ca="1" xml:space="preserve">  Financials!BL$18</f>
        <v>2625000</v>
      </c>
      <c r="BM29" s="4">
        <f ca="1" xml:space="preserve">  Financials!BM$18</f>
        <v>2625000</v>
      </c>
      <c r="BN29" s="4">
        <f ca="1" xml:space="preserve">  Financials!BN$18</f>
        <v>2975000</v>
      </c>
      <c r="BO29" s="4">
        <f ca="1" xml:space="preserve">  Financials!BO$18</f>
        <v>2975000</v>
      </c>
      <c r="BP29" s="4">
        <f ca="1" xml:space="preserve">  Financials!BP$18</f>
        <v>3325000</v>
      </c>
      <c r="BQ29" s="4">
        <f ca="1" xml:space="preserve">  Financials!BQ$18</f>
        <v>3325000</v>
      </c>
    </row>
    <row r="30" spans="1:69">
      <c r="A30" s="18"/>
      <c r="B30" s="18"/>
      <c r="C30" s="28"/>
      <c r="D30" s="27" t="s">
        <v>219</v>
      </c>
      <c r="E30" s="4" t="str">
        <f xml:space="preserve">  Inventory!E$11</f>
        <v>VAT on inventory</v>
      </c>
      <c r="F30" s="4">
        <f xml:space="preserve">  Inventory!F$11</f>
        <v>0</v>
      </c>
      <c r="G30" s="4" t="str">
        <f xml:space="preserve">  Inventory!G$11</f>
        <v>GBP</v>
      </c>
      <c r="H30" s="4">
        <f ca="1" xml:space="preserve">  Inventory!H$11</f>
        <v>11480000</v>
      </c>
      <c r="I30" s="4">
        <f xml:space="preserve">  Inventory!I$11</f>
        <v>0</v>
      </c>
      <c r="J30" s="4">
        <f xml:space="preserve">  Inventory!J$11</f>
        <v>0</v>
      </c>
      <c r="K30" s="4">
        <f xml:space="preserve">  Inventory!K$11</f>
        <v>0</v>
      </c>
      <c r="L30" s="4">
        <f xml:space="preserve">  Inventory!L$11</f>
        <v>70000</v>
      </c>
      <c r="M30" s="4">
        <f xml:space="preserve">  Inventory!M$11</f>
        <v>70000</v>
      </c>
      <c r="N30" s="4">
        <f xml:space="preserve">  Inventory!N$11</f>
        <v>70000</v>
      </c>
      <c r="O30" s="4">
        <f xml:space="preserve">  Inventory!O$11</f>
        <v>0</v>
      </c>
      <c r="P30" s="4">
        <f xml:space="preserve">  Inventory!P$11</f>
        <v>70000</v>
      </c>
      <c r="Q30" s="4">
        <f xml:space="preserve">  Inventory!Q$11</f>
        <v>0</v>
      </c>
      <c r="R30" s="4">
        <f xml:space="preserve">  Inventory!R$11</f>
        <v>70000</v>
      </c>
      <c r="S30" s="4">
        <f xml:space="preserve">  Inventory!S$11</f>
        <v>0</v>
      </c>
      <c r="T30" s="4">
        <f xml:space="preserve">  Inventory!T$11</f>
        <v>0</v>
      </c>
      <c r="U30" s="4">
        <f xml:space="preserve">  Inventory!U$11</f>
        <v>0</v>
      </c>
      <c r="V30" s="4">
        <f ca="1" xml:space="preserve">  Inventory!V$11</f>
        <v>0</v>
      </c>
      <c r="W30" s="4">
        <f ca="1" xml:space="preserve">  Inventory!W$11</f>
        <v>0</v>
      </c>
      <c r="X30" s="4">
        <f ca="1" xml:space="preserve">  Inventory!X$11</f>
        <v>0</v>
      </c>
      <c r="Y30" s="4">
        <f ca="1" xml:space="preserve">  Inventory!Y$11</f>
        <v>35000</v>
      </c>
      <c r="Z30" s="4">
        <f ca="1" xml:space="preserve">  Inventory!Z$11</f>
        <v>35000</v>
      </c>
      <c r="AA30" s="4">
        <f ca="1" xml:space="preserve">  Inventory!AA$11</f>
        <v>35000</v>
      </c>
      <c r="AB30" s="4">
        <f ca="1" xml:space="preserve">  Inventory!AB$11</f>
        <v>70000</v>
      </c>
      <c r="AC30" s="4">
        <f ca="1" xml:space="preserve">  Inventory!AC$11</f>
        <v>70000</v>
      </c>
      <c r="AD30" s="4">
        <f ca="1" xml:space="preserve">  Inventory!AD$11</f>
        <v>35000</v>
      </c>
      <c r="AE30" s="4">
        <f ca="1" xml:space="preserve">  Inventory!AE$11</f>
        <v>70000</v>
      </c>
      <c r="AF30" s="4">
        <f ca="1" xml:space="preserve">  Inventory!AF$11</f>
        <v>70000</v>
      </c>
      <c r="AG30" s="4">
        <f ca="1" xml:space="preserve">  Inventory!AG$11</f>
        <v>70000</v>
      </c>
      <c r="AH30" s="4">
        <f ca="1" xml:space="preserve">  Inventory!AH$11</f>
        <v>70000</v>
      </c>
      <c r="AI30" s="4">
        <f ca="1" xml:space="preserve">  Inventory!AI$11</f>
        <v>105000</v>
      </c>
      <c r="AJ30" s="4">
        <f ca="1" xml:space="preserve">  Inventory!AJ$11</f>
        <v>70000</v>
      </c>
      <c r="AK30" s="4">
        <f ca="1" xml:space="preserve">  Inventory!AK$11</f>
        <v>105000</v>
      </c>
      <c r="AL30" s="4">
        <f ca="1" xml:space="preserve">  Inventory!AL$11</f>
        <v>105000</v>
      </c>
      <c r="AM30" s="4">
        <f ca="1" xml:space="preserve">  Inventory!AM$11</f>
        <v>105000</v>
      </c>
      <c r="AN30" s="4">
        <f ca="1" xml:space="preserve">  Inventory!AN$11</f>
        <v>140000</v>
      </c>
      <c r="AO30" s="4">
        <f ca="1" xml:space="preserve">  Inventory!AO$11</f>
        <v>140000</v>
      </c>
      <c r="AP30" s="4">
        <f ca="1" xml:space="preserve">  Inventory!AP$11</f>
        <v>140000</v>
      </c>
      <c r="AQ30" s="4">
        <f ca="1" xml:space="preserve">  Inventory!AQ$11</f>
        <v>175000</v>
      </c>
      <c r="AR30" s="4">
        <f ca="1" xml:space="preserve">  Inventory!AR$11</f>
        <v>140000</v>
      </c>
      <c r="AS30" s="4">
        <f ca="1" xml:space="preserve">  Inventory!AS$11</f>
        <v>175000</v>
      </c>
      <c r="AT30" s="4">
        <f ca="1" xml:space="preserve">  Inventory!AT$11</f>
        <v>210000</v>
      </c>
      <c r="AU30" s="4">
        <f ca="1" xml:space="preserve">  Inventory!AU$11</f>
        <v>175000</v>
      </c>
      <c r="AV30" s="4">
        <f ca="1" xml:space="preserve">  Inventory!AV$11</f>
        <v>210000</v>
      </c>
      <c r="AW30" s="4">
        <f ca="1" xml:space="preserve">  Inventory!AW$11</f>
        <v>210000</v>
      </c>
      <c r="AX30" s="4">
        <f ca="1" xml:space="preserve">  Inventory!AX$11</f>
        <v>245000</v>
      </c>
      <c r="AY30" s="4">
        <f ca="1" xml:space="preserve">  Inventory!AY$11</f>
        <v>245000</v>
      </c>
      <c r="AZ30" s="4">
        <f ca="1" xml:space="preserve">  Inventory!AZ$11</f>
        <v>245000</v>
      </c>
      <c r="BA30" s="4">
        <f ca="1" xml:space="preserve">  Inventory!BA$11</f>
        <v>280000</v>
      </c>
      <c r="BB30" s="4">
        <f ca="1" xml:space="preserve">  Inventory!BB$11</f>
        <v>280000</v>
      </c>
      <c r="BC30" s="4">
        <f ca="1" xml:space="preserve">  Inventory!BC$11</f>
        <v>315000</v>
      </c>
      <c r="BD30" s="4">
        <f ca="1" xml:space="preserve">  Inventory!BD$11</f>
        <v>315000</v>
      </c>
      <c r="BE30" s="4">
        <f ca="1" xml:space="preserve">  Inventory!BE$11</f>
        <v>350000</v>
      </c>
      <c r="BF30" s="4">
        <f ca="1" xml:space="preserve">  Inventory!BF$11</f>
        <v>350000</v>
      </c>
      <c r="BG30" s="4">
        <f ca="1" xml:space="preserve">  Inventory!BG$11</f>
        <v>385000</v>
      </c>
      <c r="BH30" s="4">
        <f ca="1" xml:space="preserve">  Inventory!BH$11</f>
        <v>420000</v>
      </c>
      <c r="BI30" s="4">
        <f ca="1" xml:space="preserve">  Inventory!BI$11</f>
        <v>420000</v>
      </c>
      <c r="BJ30" s="4">
        <f ca="1" xml:space="preserve">  Inventory!BJ$11</f>
        <v>455000</v>
      </c>
      <c r="BK30" s="4">
        <f ca="1" xml:space="preserve">  Inventory!BK$11</f>
        <v>490000</v>
      </c>
      <c r="BL30" s="4">
        <f ca="1" xml:space="preserve">  Inventory!BL$11</f>
        <v>525000</v>
      </c>
      <c r="BM30" s="4">
        <f ca="1" xml:space="preserve">  Inventory!BM$11</f>
        <v>525000</v>
      </c>
      <c r="BN30" s="4">
        <f ca="1" xml:space="preserve">  Inventory!BN$11</f>
        <v>595000</v>
      </c>
      <c r="BO30" s="4">
        <f ca="1" xml:space="preserve">  Inventory!BO$11</f>
        <v>595000</v>
      </c>
      <c r="BP30" s="4">
        <f ca="1" xml:space="preserve">  Inventory!BP$11</f>
        <v>665000</v>
      </c>
      <c r="BQ30" s="4">
        <f ca="1" xml:space="preserve">  Inventory!BQ$11</f>
        <v>665000</v>
      </c>
    </row>
    <row r="31" spans="1:69">
      <c r="D31" s="91" t="s">
        <v>219</v>
      </c>
      <c r="E31" s="2" t="str">
        <f t="shared" ref="E31:BQ31" si="3" xml:space="preserve">  E$51</f>
        <v>Cash out on Operating Expense POS</v>
      </c>
      <c r="F31" s="2">
        <f t="shared" si="3"/>
        <v>0</v>
      </c>
      <c r="G31" s="2" t="str">
        <f t="shared" si="3"/>
        <v>GBP</v>
      </c>
      <c r="H31" s="2">
        <f t="shared" ca="1" si="3"/>
        <v>29881425.450217187</v>
      </c>
      <c r="I31" s="2">
        <f t="shared" si="3"/>
        <v>0</v>
      </c>
      <c r="J31" s="2">
        <f t="shared" ca="1" si="3"/>
        <v>65340</v>
      </c>
      <c r="K31" s="2">
        <f t="shared" ca="1" si="3"/>
        <v>65340</v>
      </c>
      <c r="L31" s="2">
        <f t="shared" ca="1" si="3"/>
        <v>65340</v>
      </c>
      <c r="M31" s="2">
        <f t="shared" ca="1" si="3"/>
        <v>66543.556565664127</v>
      </c>
      <c r="N31" s="2">
        <f t="shared" ca="1" si="3"/>
        <v>98223.556565664127</v>
      </c>
      <c r="O31" s="2">
        <f t="shared" ca="1" si="3"/>
        <v>98223.556565664127</v>
      </c>
      <c r="P31" s="2">
        <f t="shared" ca="1" si="3"/>
        <v>99456.37673550508</v>
      </c>
      <c r="Q31" s="2">
        <f t="shared" ca="1" si="3"/>
        <v>131136.37673550509</v>
      </c>
      <c r="R31" s="2">
        <f t="shared" ca="1" si="3"/>
        <v>131136.37673550509</v>
      </c>
      <c r="S31" s="2">
        <f t="shared" ca="1" si="3"/>
        <v>132399.17203281465</v>
      </c>
      <c r="T31" s="2">
        <f t="shared" ca="1" si="3"/>
        <v>132399.17203281465</v>
      </c>
      <c r="U31" s="2">
        <f t="shared" ca="1" si="3"/>
        <v>132399.17203281465</v>
      </c>
      <c r="V31" s="2">
        <f t="shared" ca="1" si="3"/>
        <v>138359.47707325619</v>
      </c>
      <c r="W31" s="2">
        <f t="shared" ca="1" si="3"/>
        <v>143348.99422610237</v>
      </c>
      <c r="X31" s="2">
        <f t="shared" ca="1" si="3"/>
        <v>148635.20350821552</v>
      </c>
      <c r="Y31" s="2">
        <f t="shared" ca="1" si="3"/>
        <v>155565.09868601535</v>
      </c>
      <c r="Z31" s="2">
        <f t="shared" ca="1" si="3"/>
        <v>161498.6679846081</v>
      </c>
      <c r="AA31" s="2">
        <f t="shared" ca="1" si="3"/>
        <v>167785.0656742905</v>
      </c>
      <c r="AB31" s="2">
        <f t="shared" ca="1" si="3"/>
        <v>175799.6288050173</v>
      </c>
      <c r="AC31" s="2">
        <f t="shared" ca="1" si="3"/>
        <v>182855.87163226554</v>
      </c>
      <c r="AD31" s="2">
        <f t="shared" ca="1" si="3"/>
        <v>190331.70049257253</v>
      </c>
      <c r="AE31" s="2">
        <f t="shared" ca="1" si="3"/>
        <v>199643.7763215749</v>
      </c>
      <c r="AF31" s="2">
        <f t="shared" ca="1" si="3"/>
        <v>208035.11049692542</v>
      </c>
      <c r="AG31" s="2">
        <f t="shared" ca="1" si="3"/>
        <v>216925.4193681452</v>
      </c>
      <c r="AH31" s="2">
        <f t="shared" ca="1" si="3"/>
        <v>241975.16295257254</v>
      </c>
      <c r="AI31" s="2">
        <f t="shared" ca="1" si="3"/>
        <v>251954.19725826482</v>
      </c>
      <c r="AJ31" s="2">
        <f t="shared" ca="1" si="3"/>
        <v>262526.61582249118</v>
      </c>
      <c r="AK31" s="2">
        <f t="shared" ca="1" si="3"/>
        <v>275182.78833160189</v>
      </c>
      <c r="AL31" s="2">
        <f t="shared" ca="1" si="3"/>
        <v>315561.92692878743</v>
      </c>
      <c r="AM31" s="2">
        <f t="shared" ca="1" si="3"/>
        <v>328134.7223081523</v>
      </c>
      <c r="AN31" s="2">
        <f t="shared" ca="1" si="3"/>
        <v>342945.56689922081</v>
      </c>
      <c r="AO31" s="2">
        <f t="shared" ca="1" si="3"/>
        <v>385570.05255371716</v>
      </c>
      <c r="AP31" s="2">
        <f t="shared" ca="1" si="3"/>
        <v>400521.71027433121</v>
      </c>
      <c r="AQ31" s="2">
        <f t="shared" ca="1" si="3"/>
        <v>417892.93554643035</v>
      </c>
      <c r="AR31" s="2">
        <f t="shared" ca="1" si="3"/>
        <v>434675.6038971314</v>
      </c>
      <c r="AS31" s="2">
        <f t="shared" ca="1" si="3"/>
        <v>452456.2216395709</v>
      </c>
      <c r="AT31" s="2">
        <f t="shared" ca="1" si="3"/>
        <v>477045.23585770308</v>
      </c>
      <c r="AU31" s="2">
        <f t="shared" ca="1" si="3"/>
        <v>501493.86990664923</v>
      </c>
      <c r="AV31" s="2">
        <f t="shared" ca="1" si="3"/>
        <v>527396.29538900394</v>
      </c>
      <c r="AW31" s="2">
        <f t="shared" ca="1" si="3"/>
        <v>556439.88778811868</v>
      </c>
      <c r="AX31" s="2">
        <f t="shared" ca="1" si="3"/>
        <v>585514.37735122337</v>
      </c>
      <c r="AY31" s="2">
        <f t="shared" ca="1" si="3"/>
        <v>616317.72603066708</v>
      </c>
      <c r="AZ31" s="2">
        <f t="shared" ca="1" si="3"/>
        <v>650592.56413671758</v>
      </c>
      <c r="BA31" s="2">
        <f t="shared" ca="1" si="3"/>
        <v>685168.1539902339</v>
      </c>
      <c r="BB31" s="2">
        <f t="shared" ca="1" si="3"/>
        <v>721799.7154057381</v>
      </c>
      <c r="BC31" s="2">
        <f t="shared" ca="1" si="3"/>
        <v>762292.64430181507</v>
      </c>
      <c r="BD31" s="2">
        <f t="shared" ca="1" si="3"/>
        <v>803410.18176103255</v>
      </c>
      <c r="BE31" s="2">
        <f t="shared" ca="1" si="3"/>
        <v>846972.6952300095</v>
      </c>
      <c r="BF31" s="2">
        <f t="shared" ca="1" si="3"/>
        <v>894789.60822599963</v>
      </c>
      <c r="BG31" s="2">
        <f t="shared" ca="1" si="3"/>
        <v>943686.87632389215</v>
      </c>
      <c r="BH31" s="2">
        <f t="shared" ca="1" si="3"/>
        <v>995491.72728860122</v>
      </c>
      <c r="BI31" s="2">
        <f t="shared" ca="1" si="3"/>
        <v>1052138.2974380981</v>
      </c>
      <c r="BJ31" s="2">
        <f t="shared" ca="1" si="3"/>
        <v>1110287.2765643073</v>
      </c>
      <c r="BK31" s="2">
        <f t="shared" ca="1" si="3"/>
        <v>1171893.9739231947</v>
      </c>
      <c r="BL31" s="2">
        <f t="shared" ca="1" si="3"/>
        <v>1238968.0381806928</v>
      </c>
      <c r="BM31" s="2">
        <f t="shared" ca="1" si="3"/>
        <v>1308119.2178877259</v>
      </c>
      <c r="BN31" s="2">
        <f t="shared" ca="1" si="3"/>
        <v>1381382.3407187341</v>
      </c>
      <c r="BO31" s="2">
        <f t="shared" ca="1" si="3"/>
        <v>1460836.9116863317</v>
      </c>
      <c r="BP31" s="2">
        <f t="shared" ca="1" si="3"/>
        <v>1543071.9866047669</v>
      </c>
      <c r="BQ31" s="2">
        <f t="shared" ca="1" si="3"/>
        <v>1630197.0135427206</v>
      </c>
    </row>
    <row r="32" spans="1:69">
      <c r="D32" s="91" t="s">
        <v>300</v>
      </c>
      <c r="E32" s="2" t="str">
        <f t="shared" ref="E32:BQ32" si="4" xml:space="preserve">  E$14</f>
        <v>Cash out on Inventory POS</v>
      </c>
      <c r="F32" s="2">
        <f t="shared" si="4"/>
        <v>0</v>
      </c>
      <c r="G32" s="2" t="str">
        <f t="shared" si="4"/>
        <v>GBP</v>
      </c>
      <c r="H32" s="2">
        <f t="shared" ca="1" si="4"/>
        <v>50442000</v>
      </c>
      <c r="I32" s="2">
        <f t="shared" si="4"/>
        <v>0</v>
      </c>
      <c r="J32" s="2">
        <f t="shared" ca="1" si="4"/>
        <v>0</v>
      </c>
      <c r="K32" s="2">
        <f t="shared" ca="1" si="4"/>
        <v>0</v>
      </c>
      <c r="L32" s="2">
        <f t="shared" ca="1" si="4"/>
        <v>105000</v>
      </c>
      <c r="M32" s="2">
        <f t="shared" ca="1" si="4"/>
        <v>105000</v>
      </c>
      <c r="N32" s="2">
        <f t="shared" ca="1" si="4"/>
        <v>105000</v>
      </c>
      <c r="O32" s="2">
        <f t="shared" ca="1" si="4"/>
        <v>0</v>
      </c>
      <c r="P32" s="2">
        <f t="shared" ca="1" si="4"/>
        <v>105000</v>
      </c>
      <c r="Q32" s="2">
        <f t="shared" ca="1" si="4"/>
        <v>0</v>
      </c>
      <c r="R32" s="2">
        <f t="shared" ca="1" si="4"/>
        <v>398999.99999999994</v>
      </c>
      <c r="S32" s="2">
        <f t="shared" ca="1" si="4"/>
        <v>293999.99999999994</v>
      </c>
      <c r="T32" s="2">
        <f t="shared" ca="1" si="4"/>
        <v>293999.99999999994</v>
      </c>
      <c r="U32" s="2">
        <f t="shared" ca="1" si="4"/>
        <v>0</v>
      </c>
      <c r="V32" s="2">
        <f t="shared" ca="1" si="4"/>
        <v>293999.99999999994</v>
      </c>
      <c r="W32" s="2">
        <f t="shared" ca="1" si="4"/>
        <v>0</v>
      </c>
      <c r="X32" s="2">
        <f t="shared" ca="1" si="4"/>
        <v>293999.99999999994</v>
      </c>
      <c r="Y32" s="2">
        <f t="shared" ca="1" si="4"/>
        <v>52500</v>
      </c>
      <c r="Z32" s="2">
        <f t="shared" ca="1" si="4"/>
        <v>52500</v>
      </c>
      <c r="AA32" s="2">
        <f t="shared" ca="1" si="4"/>
        <v>52500</v>
      </c>
      <c r="AB32" s="2">
        <f t="shared" ca="1" si="4"/>
        <v>105000</v>
      </c>
      <c r="AC32" s="2">
        <f t="shared" ca="1" si="4"/>
        <v>105000</v>
      </c>
      <c r="AD32" s="2">
        <f t="shared" ca="1" si="4"/>
        <v>52500</v>
      </c>
      <c r="AE32" s="2">
        <f t="shared" ca="1" si="4"/>
        <v>251999.99999999997</v>
      </c>
      <c r="AF32" s="2">
        <f t="shared" ca="1" si="4"/>
        <v>251999.99999999997</v>
      </c>
      <c r="AG32" s="2">
        <f t="shared" ca="1" si="4"/>
        <v>251999.99999999997</v>
      </c>
      <c r="AH32" s="2">
        <f t="shared" ca="1" si="4"/>
        <v>398999.99999999994</v>
      </c>
      <c r="AI32" s="2">
        <f t="shared" ca="1" si="4"/>
        <v>451499.99999999994</v>
      </c>
      <c r="AJ32" s="2">
        <f t="shared" ca="1" si="4"/>
        <v>251999.99999999997</v>
      </c>
      <c r="AK32" s="2">
        <f t="shared" ca="1" si="4"/>
        <v>451499.99999999994</v>
      </c>
      <c r="AL32" s="2">
        <f t="shared" ca="1" si="4"/>
        <v>451499.99999999994</v>
      </c>
      <c r="AM32" s="2">
        <f t="shared" ca="1" si="4"/>
        <v>451499.99999999994</v>
      </c>
      <c r="AN32" s="2">
        <f t="shared" ca="1" si="4"/>
        <v>503999.99999999994</v>
      </c>
      <c r="AO32" s="2">
        <f t="shared" ca="1" si="4"/>
        <v>651000</v>
      </c>
      <c r="AP32" s="2">
        <f t="shared" ca="1" si="4"/>
        <v>503999.99999999994</v>
      </c>
      <c r="AQ32" s="2">
        <f t="shared" ca="1" si="4"/>
        <v>703500</v>
      </c>
      <c r="AR32" s="2">
        <f t="shared" ca="1" si="4"/>
        <v>651000</v>
      </c>
      <c r="AS32" s="2">
        <f t="shared" ca="1" si="4"/>
        <v>703500</v>
      </c>
      <c r="AT32" s="2">
        <f t="shared" ca="1" si="4"/>
        <v>902999.99999999988</v>
      </c>
      <c r="AU32" s="2">
        <f t="shared" ca="1" si="4"/>
        <v>850499.99999999988</v>
      </c>
      <c r="AV32" s="2">
        <f t="shared" ca="1" si="4"/>
        <v>902999.99999999988</v>
      </c>
      <c r="AW32" s="2">
        <f t="shared" ca="1" si="4"/>
        <v>1050000</v>
      </c>
      <c r="AX32" s="2">
        <f t="shared" ca="1" si="4"/>
        <v>955499.99999999988</v>
      </c>
      <c r="AY32" s="2">
        <f t="shared" ca="1" si="4"/>
        <v>1102500</v>
      </c>
      <c r="AZ32" s="2">
        <f t="shared" ca="1" si="4"/>
        <v>1249500</v>
      </c>
      <c r="BA32" s="2">
        <f t="shared" ca="1" si="4"/>
        <v>1155000</v>
      </c>
      <c r="BB32" s="2">
        <f t="shared" ca="1" si="4"/>
        <v>1302000</v>
      </c>
      <c r="BC32" s="2">
        <f t="shared" ca="1" si="4"/>
        <v>1354500</v>
      </c>
      <c r="BD32" s="2">
        <f t="shared" ca="1" si="4"/>
        <v>1501500</v>
      </c>
      <c r="BE32" s="2">
        <f t="shared" ca="1" si="4"/>
        <v>1554000</v>
      </c>
      <c r="BF32" s="2">
        <f t="shared" ca="1" si="4"/>
        <v>1554000</v>
      </c>
      <c r="BG32" s="2">
        <f t="shared" ca="1" si="4"/>
        <v>1753499.9999999998</v>
      </c>
      <c r="BH32" s="2">
        <f t="shared" ca="1" si="4"/>
        <v>1805999.9999999998</v>
      </c>
      <c r="BI32" s="2">
        <f t="shared" ca="1" si="4"/>
        <v>1953000</v>
      </c>
      <c r="BJ32" s="2">
        <f t="shared" ca="1" si="4"/>
        <v>2005500</v>
      </c>
      <c r="BK32" s="2">
        <f t="shared" ca="1" si="4"/>
        <v>2205000</v>
      </c>
      <c r="BL32" s="2">
        <f t="shared" ca="1" si="4"/>
        <v>2257500</v>
      </c>
      <c r="BM32" s="2">
        <f t="shared" ca="1" si="4"/>
        <v>2404500</v>
      </c>
      <c r="BN32" s="2">
        <f t="shared" ca="1" si="4"/>
        <v>2656500</v>
      </c>
      <c r="BO32" s="2">
        <f t="shared" ca="1" si="4"/>
        <v>2656500</v>
      </c>
      <c r="BP32" s="2">
        <f t="shared" ca="1" si="4"/>
        <v>2908500</v>
      </c>
      <c r="BQ32" s="2">
        <f t="shared" ca="1" si="4"/>
        <v>3055500</v>
      </c>
    </row>
    <row r="33" spans="1:69">
      <c r="A33" s="18"/>
      <c r="B33" s="18"/>
      <c r="C33" s="28"/>
      <c r="D33" s="27" t="s">
        <v>300</v>
      </c>
      <c r="E33" s="4" t="str">
        <f xml:space="preserve">  Expense!E$19</f>
        <v>Fixed operating expense POS</v>
      </c>
      <c r="F33" s="4">
        <f xml:space="preserve">  Expense!F$19</f>
        <v>0</v>
      </c>
      <c r="G33" s="4" t="str">
        <f xml:space="preserve">  Expense!G$19</f>
        <v>GBP</v>
      </c>
      <c r="H33" s="4">
        <f xml:space="preserve">  Expense!H$19</f>
        <v>3419071.4947073567</v>
      </c>
      <c r="I33" s="4">
        <f xml:space="preserve">  Expense!I$19</f>
        <v>0</v>
      </c>
      <c r="J33" s="4">
        <f xml:space="preserve">  Expense!J$19</f>
        <v>45000</v>
      </c>
      <c r="K33" s="4">
        <f xml:space="preserve">  Expense!K$19</f>
        <v>45000</v>
      </c>
      <c r="L33" s="4">
        <f xml:space="preserve">  Expense!L$19</f>
        <v>45000</v>
      </c>
      <c r="M33" s="4">
        <f xml:space="preserve">  Expense!M$19</f>
        <v>46094.142332421929</v>
      </c>
      <c r="N33" s="4">
        <f xml:space="preserve">  Expense!N$19</f>
        <v>46094.142332421929</v>
      </c>
      <c r="O33" s="4">
        <f xml:space="preserve">  Expense!O$19</f>
        <v>46094.142332421929</v>
      </c>
      <c r="P33" s="4">
        <f xml:space="preserve">  Expense!P$19</f>
        <v>47214.887941368259</v>
      </c>
      <c r="Q33" s="4">
        <f xml:space="preserve">  Expense!Q$19</f>
        <v>47214.887941368259</v>
      </c>
      <c r="R33" s="4">
        <f xml:space="preserve">  Expense!R$19</f>
        <v>47214.887941368259</v>
      </c>
      <c r="S33" s="4">
        <f xml:space="preserve">  Expense!S$19</f>
        <v>48362.883666195121</v>
      </c>
      <c r="T33" s="4">
        <f xml:space="preserve">  Expense!T$19</f>
        <v>48362.883666195121</v>
      </c>
      <c r="U33" s="4">
        <f xml:space="preserve">  Expense!U$19</f>
        <v>48362.883666195121</v>
      </c>
      <c r="V33" s="4">
        <f xml:space="preserve">  Expense!V$19</f>
        <v>49500.000000000007</v>
      </c>
      <c r="W33" s="4">
        <f xml:space="preserve">  Expense!W$19</f>
        <v>49500.000000000007</v>
      </c>
      <c r="X33" s="4">
        <f xml:space="preserve">  Expense!X$19</f>
        <v>49500.000000000007</v>
      </c>
      <c r="Y33" s="4">
        <f xml:space="preserve">  Expense!Y$19</f>
        <v>50708.501394855797</v>
      </c>
      <c r="Z33" s="4">
        <f xml:space="preserve">  Expense!Z$19</f>
        <v>50708.501394855797</v>
      </c>
      <c r="AA33" s="4">
        <f xml:space="preserve">  Expense!AA$19</f>
        <v>50708.501394855797</v>
      </c>
      <c r="AB33" s="4">
        <f xml:space="preserve">  Expense!AB$19</f>
        <v>51939.73483307648</v>
      </c>
      <c r="AC33" s="4">
        <f xml:space="preserve">  Expense!AC$19</f>
        <v>51939.73483307648</v>
      </c>
      <c r="AD33" s="4">
        <f xml:space="preserve">  Expense!AD$19</f>
        <v>51939.73483307648</v>
      </c>
      <c r="AE33" s="4">
        <f xml:space="preserve">  Expense!AE$19</f>
        <v>53204.926698313757</v>
      </c>
      <c r="AF33" s="4">
        <f xml:space="preserve">  Expense!AF$19</f>
        <v>53204.926698313757</v>
      </c>
      <c r="AG33" s="4">
        <f xml:space="preserve">  Expense!AG$19</f>
        <v>53204.926698313757</v>
      </c>
      <c r="AH33" s="4">
        <f xml:space="preserve">  Expense!AH$19</f>
        <v>54454.735278236491</v>
      </c>
      <c r="AI33" s="4">
        <f xml:space="preserve">  Expense!AI$19</f>
        <v>54454.735278236491</v>
      </c>
      <c r="AJ33" s="4">
        <f xml:space="preserve">  Expense!AJ$19</f>
        <v>54454.735278236491</v>
      </c>
      <c r="AK33" s="4">
        <f xml:space="preserve">  Expense!AK$19</f>
        <v>55777.540025685339</v>
      </c>
      <c r="AL33" s="4">
        <f xml:space="preserve">  Expense!AL$19</f>
        <v>55777.540025685339</v>
      </c>
      <c r="AM33" s="4">
        <f xml:space="preserve">  Expense!AM$19</f>
        <v>55777.540025685339</v>
      </c>
      <c r="AN33" s="4">
        <f xml:space="preserve">  Expense!AN$19</f>
        <v>57132.478110867487</v>
      </c>
      <c r="AO33" s="4">
        <f xml:space="preserve">  Expense!AO$19</f>
        <v>57132.478110867487</v>
      </c>
      <c r="AP33" s="4">
        <f xml:space="preserve">  Expense!AP$19</f>
        <v>57132.478110867487</v>
      </c>
      <c r="AQ33" s="4">
        <f xml:space="preserve">  Expense!AQ$19</f>
        <v>58523.837854155172</v>
      </c>
      <c r="AR33" s="4">
        <f xml:space="preserve">  Expense!AR$19</f>
        <v>58523.837854155172</v>
      </c>
      <c r="AS33" s="4">
        <f xml:space="preserve">  Expense!AS$19</f>
        <v>58523.837854155172</v>
      </c>
      <c r="AT33" s="4">
        <f xml:space="preserve">  Expense!AT$19</f>
        <v>59898.907453406857</v>
      </c>
      <c r="AU33" s="4">
        <f xml:space="preserve">  Expense!AU$19</f>
        <v>59898.907453406857</v>
      </c>
      <c r="AV33" s="4">
        <f xml:space="preserve">  Expense!AV$19</f>
        <v>59898.907453406857</v>
      </c>
      <c r="AW33" s="4">
        <f xml:space="preserve">  Expense!AW$19</f>
        <v>61354.297040832636</v>
      </c>
      <c r="AX33" s="4">
        <f xml:space="preserve">  Expense!AX$19</f>
        <v>61354.297040832636</v>
      </c>
      <c r="AY33" s="4">
        <f xml:space="preserve">  Expense!AY$19</f>
        <v>61354.297040832636</v>
      </c>
      <c r="AZ33" s="4">
        <f xml:space="preserve">  Expense!AZ$19</f>
        <v>62845.048856740366</v>
      </c>
      <c r="BA33" s="4">
        <f xml:space="preserve">  Expense!BA$19</f>
        <v>62845.048856740366</v>
      </c>
      <c r="BB33" s="4">
        <f xml:space="preserve">  Expense!BB$19</f>
        <v>62845.048856740366</v>
      </c>
      <c r="BC33" s="4">
        <f xml:space="preserve">  Expense!BC$19</f>
        <v>64375.177481826024</v>
      </c>
      <c r="BD33" s="4">
        <f xml:space="preserve">  Expense!BD$19</f>
        <v>64375.177481826024</v>
      </c>
      <c r="BE33" s="4">
        <f xml:space="preserve">  Expense!BE$19</f>
        <v>64375.177481826024</v>
      </c>
      <c r="BF33" s="4">
        <f xml:space="preserve">  Expense!BF$19</f>
        <v>65887.939007352761</v>
      </c>
      <c r="BG33" s="4">
        <f xml:space="preserve">  Expense!BG$19</f>
        <v>65887.939007352761</v>
      </c>
      <c r="BH33" s="4">
        <f xml:space="preserve">  Expense!BH$19</f>
        <v>65887.939007352761</v>
      </c>
      <c r="BI33" s="4">
        <f xml:space="preserve">  Expense!BI$19</f>
        <v>67489.068501538102</v>
      </c>
      <c r="BJ33" s="4">
        <f xml:space="preserve">  Expense!BJ$19</f>
        <v>67489.068501538102</v>
      </c>
      <c r="BK33" s="4">
        <f xml:space="preserve">  Expense!BK$19</f>
        <v>67489.068501538102</v>
      </c>
      <c r="BL33" s="4">
        <f xml:space="preserve">  Expense!BL$19</f>
        <v>69129.106720078344</v>
      </c>
      <c r="BM33" s="4">
        <f xml:space="preserve">  Expense!BM$19</f>
        <v>69129.106720078344</v>
      </c>
      <c r="BN33" s="4">
        <f xml:space="preserve">  Expense!BN$19</f>
        <v>69129.106720078344</v>
      </c>
      <c r="BO33" s="4">
        <f xml:space="preserve">  Expense!BO$19</f>
        <v>70797.285038834758</v>
      </c>
      <c r="BP33" s="4">
        <f xml:space="preserve">  Expense!BP$19</f>
        <v>70797.285038834758</v>
      </c>
      <c r="BQ33" s="4">
        <f xml:space="preserve">  Expense!BQ$19</f>
        <v>70797.285038834758</v>
      </c>
    </row>
    <row r="34" spans="1:69">
      <c r="A34" s="18"/>
      <c r="B34" s="18"/>
      <c r="C34" s="28"/>
      <c r="D34" s="27" t="s">
        <v>300</v>
      </c>
      <c r="E34" s="4" t="str">
        <f xml:space="preserve">  Expense!E$26</f>
        <v>Variable Operating expense POS</v>
      </c>
      <c r="F34" s="4">
        <f xml:space="preserve">  Expense!F$26</f>
        <v>0</v>
      </c>
      <c r="G34" s="4" t="str">
        <f xml:space="preserve">  Expense!G$26</f>
        <v>GBP</v>
      </c>
      <c r="H34" s="4">
        <f ca="1" xml:space="preserve">  Expense!H$26</f>
        <v>23745860.732762821</v>
      </c>
      <c r="I34" s="4">
        <f xml:space="preserve">  Expense!I$26</f>
        <v>0</v>
      </c>
      <c r="J34" s="4">
        <f ca="1" xml:space="preserve">  Expense!J$26</f>
        <v>14400</v>
      </c>
      <c r="K34" s="4">
        <f ca="1" xml:space="preserve">  Expense!K$26</f>
        <v>14400</v>
      </c>
      <c r="L34" s="4">
        <f ca="1" xml:space="preserve">  Expense!L$26</f>
        <v>14400</v>
      </c>
      <c r="M34" s="4">
        <f ca="1" xml:space="preserve">  Expense!M$26</f>
        <v>14400</v>
      </c>
      <c r="N34" s="4">
        <f ca="1" xml:space="preserve">  Expense!N$26</f>
        <v>43200</v>
      </c>
      <c r="O34" s="4">
        <f ca="1" xml:space="preserve">  Expense!O$26</f>
        <v>43200</v>
      </c>
      <c r="P34" s="4">
        <f ca="1" xml:space="preserve">  Expense!P$26</f>
        <v>43200</v>
      </c>
      <c r="Q34" s="4">
        <f ca="1" xml:space="preserve">  Expense!Q$26</f>
        <v>72000</v>
      </c>
      <c r="R34" s="4">
        <f ca="1" xml:space="preserve">  Expense!R$26</f>
        <v>72000</v>
      </c>
      <c r="S34" s="4">
        <f ca="1" xml:space="preserve">  Expense!S$26</f>
        <v>72000</v>
      </c>
      <c r="T34" s="4">
        <f ca="1" xml:space="preserve">  Expense!T$26</f>
        <v>72000</v>
      </c>
      <c r="U34" s="4">
        <f ca="1" xml:space="preserve">  Expense!U$26</f>
        <v>72000</v>
      </c>
      <c r="V34" s="4">
        <f ca="1" xml:space="preserve">  Expense!V$26</f>
        <v>76281.342793869262</v>
      </c>
      <c r="W34" s="4">
        <f ca="1" xml:space="preserve">  Expense!W$26</f>
        <v>80817.267478274865</v>
      </c>
      <c r="X34" s="4">
        <f ca="1" xml:space="preserve">  Expense!X$26</f>
        <v>85622.912280195917</v>
      </c>
      <c r="Y34" s="4">
        <f ca="1" xml:space="preserve">  Expense!Y$26</f>
        <v>90714.315592430881</v>
      </c>
      <c r="Z34" s="4">
        <f ca="1" xml:space="preserve">  Expense!Z$26</f>
        <v>96108.469500242471</v>
      </c>
      <c r="AA34" s="4">
        <f ca="1" xml:space="preserve">  Expense!AA$26</f>
        <v>101823.37649086284</v>
      </c>
      <c r="AB34" s="4">
        <f ca="1" xml:space="preserve">  Expense!AB$26</f>
        <v>107878.10953512107</v>
      </c>
      <c r="AC34" s="4">
        <f ca="1" xml:space="preserve">  Expense!AC$26</f>
        <v>114292.87574171038</v>
      </c>
      <c r="AD34" s="4">
        <f ca="1" xml:space="preserve">  Expense!AD$26</f>
        <v>121089.08379653491</v>
      </c>
      <c r="AE34" s="4">
        <f ca="1" xml:space="preserve">  Expense!AE$26</f>
        <v>128289.41541220888</v>
      </c>
      <c r="AF34" s="4">
        <f ca="1" xml:space="preserve">  Expense!AF$26</f>
        <v>135917.90102616389</v>
      </c>
      <c r="AG34" s="4">
        <f ca="1" xml:space="preserve">  Expense!AG$26</f>
        <v>144000.00000000006</v>
      </c>
      <c r="AH34" s="4">
        <f ca="1" xml:space="preserve">  Expense!AH$26</f>
        <v>165522.68558773852</v>
      </c>
      <c r="AI34" s="4">
        <f ca="1" xml:space="preserve">  Expense!AI$26</f>
        <v>174594.53495654973</v>
      </c>
      <c r="AJ34" s="4">
        <f ca="1" xml:space="preserve">  Expense!AJ$26</f>
        <v>184205.82456039186</v>
      </c>
      <c r="AK34" s="4">
        <f ca="1" xml:space="preserve">  Expense!AK$26</f>
        <v>194388.63118486182</v>
      </c>
      <c r="AL34" s="4">
        <f ca="1" xml:space="preserve">  Expense!AL$26</f>
        <v>231096.93900048506</v>
      </c>
      <c r="AM34" s="4">
        <f ca="1" xml:space="preserve">  Expense!AM$26</f>
        <v>242526.75298172582</v>
      </c>
      <c r="AN34" s="4">
        <f ca="1" xml:space="preserve">  Expense!AN$26</f>
        <v>254636.21907024231</v>
      </c>
      <c r="AO34" s="4">
        <f ca="1" xml:space="preserve">  Expense!AO$26</f>
        <v>293385.75148342084</v>
      </c>
      <c r="AP34" s="4">
        <f ca="1" xml:space="preserve">  Expense!AP$26</f>
        <v>306978.16759306996</v>
      </c>
      <c r="AQ34" s="4">
        <f ca="1" xml:space="preserve">  Expense!AQ$26</f>
        <v>321378.83082441788</v>
      </c>
      <c r="AR34" s="4">
        <f ca="1" xml:space="preserve">  Expense!AR$26</f>
        <v>336635.8020523279</v>
      </c>
      <c r="AS34" s="4">
        <f ca="1" xml:space="preserve">  Expense!AS$26</f>
        <v>352800.00000000017</v>
      </c>
      <c r="AT34" s="4">
        <f ca="1" xml:space="preserve">  Expense!AT$26</f>
        <v>373778.57968995959</v>
      </c>
      <c r="AU34" s="4">
        <f ca="1" xml:space="preserve">  Expense!AU$26</f>
        <v>396004.61064354703</v>
      </c>
      <c r="AV34" s="4">
        <f ca="1" xml:space="preserve">  Expense!AV$26</f>
        <v>419552.27017296036</v>
      </c>
      <c r="AW34" s="4">
        <f ca="1" xml:space="preserve">  Expense!AW$26</f>
        <v>444500.14640291157</v>
      </c>
      <c r="AX34" s="4">
        <f ca="1" xml:space="preserve">  Expense!AX$26</f>
        <v>470931.5005511886</v>
      </c>
      <c r="AY34" s="4">
        <f ca="1" xml:space="preserve">  Expense!AY$26</f>
        <v>498934.54480522836</v>
      </c>
      <c r="AZ34" s="4">
        <f ca="1" xml:space="preserve">  Expense!AZ$26</f>
        <v>528602.73672209377</v>
      </c>
      <c r="BA34" s="4">
        <f ca="1" xml:space="preserve">  Expense!BA$26</f>
        <v>560035.09113438136</v>
      </c>
      <c r="BB34" s="4">
        <f ca="1" xml:space="preserve">  Expense!BB$26</f>
        <v>593336.5106030216</v>
      </c>
      <c r="BC34" s="4">
        <f ca="1" xml:space="preserve">  Expense!BC$26</f>
        <v>628618.13551982399</v>
      </c>
      <c r="BD34" s="4">
        <f ca="1" xml:space="preserve">  Expense!BD$26</f>
        <v>665997.71502820356</v>
      </c>
      <c r="BE34" s="4">
        <f ca="1" xml:space="preserve">  Expense!BE$26</f>
        <v>705600.00000000081</v>
      </c>
      <c r="BF34" s="4">
        <f ca="1" xml:space="preserve">  Expense!BF$26</f>
        <v>747557.15937991964</v>
      </c>
      <c r="BG34" s="4">
        <f ca="1" xml:space="preserve">  Expense!BG$26</f>
        <v>792009.22128709464</v>
      </c>
      <c r="BH34" s="4">
        <f ca="1" xml:space="preserve">  Expense!BH$26</f>
        <v>839104.54034592106</v>
      </c>
      <c r="BI34" s="4">
        <f ca="1" xml:space="preserve">  Expense!BI$26</f>
        <v>889000.29280582373</v>
      </c>
      <c r="BJ34" s="4">
        <f ca="1" xml:space="preserve">  Expense!BJ$26</f>
        <v>941863.00110237754</v>
      </c>
      <c r="BK34" s="4">
        <f ca="1" xml:space="preserve">  Expense!BK$26</f>
        <v>997869.08961045707</v>
      </c>
      <c r="BL34" s="4">
        <f ca="1" xml:space="preserve">  Expense!BL$26</f>
        <v>1057205.473444188</v>
      </c>
      <c r="BM34" s="4">
        <f ca="1" xml:space="preserve">  Expense!BM$26</f>
        <v>1120070.1822687634</v>
      </c>
      <c r="BN34" s="4">
        <f ca="1" xml:space="preserve">  Expense!BN$26</f>
        <v>1186673.0212060437</v>
      </c>
      <c r="BO34" s="4">
        <f ca="1" xml:space="preserve">  Expense!BO$26</f>
        <v>1257236.2710396487</v>
      </c>
      <c r="BP34" s="4">
        <f ca="1" xml:space="preserve">  Expense!BP$26</f>
        <v>1331995.430056408</v>
      </c>
      <c r="BQ34" s="4">
        <f ca="1" xml:space="preserve">  Expense!BQ$26</f>
        <v>1411200.0000000023</v>
      </c>
    </row>
    <row r="35" spans="1:69">
      <c r="A35" s="18"/>
      <c r="B35" s="18"/>
      <c r="C35" s="28"/>
      <c r="D35" s="27" t="s">
        <v>300</v>
      </c>
      <c r="E35" s="4" t="str">
        <f xml:space="preserve">  Expense!E$13</f>
        <v>VAT on operating expense</v>
      </c>
      <c r="F35" s="4">
        <f xml:space="preserve">  Expense!F$13</f>
        <v>0</v>
      </c>
      <c r="G35" s="4" t="str">
        <f xml:space="preserve">  Expense!G$13</f>
        <v>GBP</v>
      </c>
      <c r="H35" s="4">
        <f ca="1" xml:space="preserve">  Expense!H$13</f>
        <v>2716493.2227470176</v>
      </c>
      <c r="I35" s="4">
        <f xml:space="preserve">  Expense!I$13</f>
        <v>0</v>
      </c>
      <c r="J35" s="4">
        <f ca="1" xml:space="preserve">  Expense!J$13</f>
        <v>5940</v>
      </c>
      <c r="K35" s="4">
        <f ca="1" xml:space="preserve">  Expense!K$13</f>
        <v>5940</v>
      </c>
      <c r="L35" s="4">
        <f ca="1" xml:space="preserve">  Expense!L$13</f>
        <v>5940</v>
      </c>
      <c r="M35" s="4">
        <f ca="1" xml:space="preserve">  Expense!M$13</f>
        <v>6049.4142332421934</v>
      </c>
      <c r="N35" s="4">
        <f ca="1" xml:space="preserve">  Expense!N$13</f>
        <v>8929.4142332421943</v>
      </c>
      <c r="O35" s="4">
        <f ca="1" xml:space="preserve">  Expense!O$13</f>
        <v>8929.4142332421943</v>
      </c>
      <c r="P35" s="4">
        <f ca="1" xml:space="preserve">  Expense!P$13</f>
        <v>9041.488794136827</v>
      </c>
      <c r="Q35" s="4">
        <f ca="1" xml:space="preserve">  Expense!Q$13</f>
        <v>11921.488794136827</v>
      </c>
      <c r="R35" s="4">
        <f ca="1" xml:space="preserve">  Expense!R$13</f>
        <v>11921.488794136827</v>
      </c>
      <c r="S35" s="4">
        <f ca="1" xml:space="preserve">  Expense!S$13</f>
        <v>12036.288366619512</v>
      </c>
      <c r="T35" s="4">
        <f ca="1" xml:space="preserve">  Expense!T$13</f>
        <v>12036.288366619512</v>
      </c>
      <c r="U35" s="4">
        <f ca="1" xml:space="preserve">  Expense!U$13</f>
        <v>12036.288366619512</v>
      </c>
      <c r="V35" s="4">
        <f ca="1" xml:space="preserve">  Expense!V$13</f>
        <v>12578.134279386926</v>
      </c>
      <c r="W35" s="4">
        <f ca="1" xml:space="preserve">  Expense!W$13</f>
        <v>13031.726747827488</v>
      </c>
      <c r="X35" s="4">
        <f ca="1" xml:space="preserve">  Expense!X$13</f>
        <v>13512.291228019592</v>
      </c>
      <c r="Y35" s="4">
        <f ca="1" xml:space="preserve">  Expense!Y$13</f>
        <v>14142.281698728668</v>
      </c>
      <c r="Z35" s="4">
        <f ca="1" xml:space="preserve">  Expense!Z$13</f>
        <v>14681.697089509827</v>
      </c>
      <c r="AA35" s="4">
        <f ca="1" xml:space="preserve">  Expense!AA$13</f>
        <v>15253.187788571864</v>
      </c>
      <c r="AB35" s="4">
        <f ca="1" xml:space="preserve">  Expense!AB$13</f>
        <v>15981.784436819755</v>
      </c>
      <c r="AC35" s="4">
        <f ca="1" xml:space="preserve">  Expense!AC$13</f>
        <v>16623.261057478685</v>
      </c>
      <c r="AD35" s="4">
        <f ca="1" xml:space="preserve">  Expense!AD$13</f>
        <v>17302.881862961141</v>
      </c>
      <c r="AE35" s="4">
        <f ca="1" xml:space="preserve">  Expense!AE$13</f>
        <v>18149.434211052267</v>
      </c>
      <c r="AF35" s="4">
        <f ca="1" xml:space="preserve">  Expense!AF$13</f>
        <v>18912.282772447765</v>
      </c>
      <c r="AG35" s="4">
        <f ca="1" xml:space="preserve">  Expense!AG$13</f>
        <v>19720.492669831383</v>
      </c>
      <c r="AH35" s="4">
        <f ca="1" xml:space="preserve">  Expense!AH$13</f>
        <v>21997.742086597504</v>
      </c>
      <c r="AI35" s="4">
        <f ca="1" xml:space="preserve">  Expense!AI$13</f>
        <v>22904.927023478624</v>
      </c>
      <c r="AJ35" s="4">
        <f ca="1" xml:space="preserve">  Expense!AJ$13</f>
        <v>23866.055983862836</v>
      </c>
      <c r="AK35" s="4">
        <f ca="1" xml:space="preserve">  Expense!AK$13</f>
        <v>25016.617121054718</v>
      </c>
      <c r="AL35" s="4">
        <f ca="1" xml:space="preserve">  Expense!AL$13</f>
        <v>28687.447902617041</v>
      </c>
      <c r="AM35" s="4">
        <f ca="1" xml:space="preserve">  Expense!AM$13</f>
        <v>29830.429300741118</v>
      </c>
      <c r="AN35" s="4">
        <f ca="1" xml:space="preserve">  Expense!AN$13</f>
        <v>31176.869718110982</v>
      </c>
      <c r="AO35" s="4">
        <f ca="1" xml:space="preserve">  Expense!AO$13</f>
        <v>35051.822959428835</v>
      </c>
      <c r="AP35" s="4">
        <f ca="1" xml:space="preserve">  Expense!AP$13</f>
        <v>36411.064570393748</v>
      </c>
      <c r="AQ35" s="4">
        <f ca="1" xml:space="preserve">  Expense!AQ$13</f>
        <v>37990.266867857303</v>
      </c>
      <c r="AR35" s="4">
        <f ca="1" xml:space="preserve">  Expense!AR$13</f>
        <v>39515.963990648306</v>
      </c>
      <c r="AS35" s="4">
        <f ca="1" xml:space="preserve">  Expense!AS$13</f>
        <v>41132.383785415535</v>
      </c>
      <c r="AT35" s="4">
        <f ca="1" xml:space="preserve">  Expense!AT$13</f>
        <v>43367.748714336645</v>
      </c>
      <c r="AU35" s="4">
        <f ca="1" xml:space="preserve">  Expense!AU$13</f>
        <v>45590.351809695392</v>
      </c>
      <c r="AV35" s="4">
        <f ca="1" xml:space="preserve">  Expense!AV$13</f>
        <v>47945.117762636721</v>
      </c>
      <c r="AW35" s="4">
        <f ca="1" xml:space="preserve">  Expense!AW$13</f>
        <v>50585.444344374424</v>
      </c>
      <c r="AX35" s="4">
        <f ca="1" xml:space="preserve">  Expense!AX$13</f>
        <v>53228.579759202134</v>
      </c>
      <c r="AY35" s="4">
        <f ca="1" xml:space="preserve">  Expense!AY$13</f>
        <v>56028.884184606097</v>
      </c>
      <c r="AZ35" s="4">
        <f ca="1" xml:space="preserve">  Expense!AZ$13</f>
        <v>59144.778557883415</v>
      </c>
      <c r="BA35" s="4">
        <f ca="1" xml:space="preserve">  Expense!BA$13</f>
        <v>62288.013999112176</v>
      </c>
      <c r="BB35" s="4">
        <f ca="1" xml:space="preserve">  Expense!BB$13</f>
        <v>65618.155945976192</v>
      </c>
      <c r="BC35" s="4">
        <f ca="1" xml:space="preserve">  Expense!BC$13</f>
        <v>69299.331300165009</v>
      </c>
      <c r="BD35" s="4">
        <f ca="1" xml:space="preserve">  Expense!BD$13</f>
        <v>73037.289251002963</v>
      </c>
      <c r="BE35" s="4">
        <f ca="1" xml:space="preserve">  Expense!BE$13</f>
        <v>76997.517748182683</v>
      </c>
      <c r="BF35" s="4">
        <f ca="1" xml:space="preserve">  Expense!BF$13</f>
        <v>81344.509838727245</v>
      </c>
      <c r="BG35" s="4">
        <f ca="1" xml:space="preserve">  Expense!BG$13</f>
        <v>85789.716029444753</v>
      </c>
      <c r="BH35" s="4">
        <f ca="1" xml:space="preserve">  Expense!BH$13</f>
        <v>90499.247935327396</v>
      </c>
      <c r="BI35" s="4">
        <f ca="1" xml:space="preserve">  Expense!BI$13</f>
        <v>95648.936130736198</v>
      </c>
      <c r="BJ35" s="4">
        <f ca="1" xml:space="preserve">  Expense!BJ$13</f>
        <v>100935.20696039157</v>
      </c>
      <c r="BK35" s="4">
        <f ca="1" xml:space="preserve">  Expense!BK$13</f>
        <v>106535.81581119951</v>
      </c>
      <c r="BL35" s="4">
        <f ca="1" xml:space="preserve">  Expense!BL$13</f>
        <v>112633.45801642664</v>
      </c>
      <c r="BM35" s="4">
        <f ca="1" xml:space="preserve">  Expense!BM$13</f>
        <v>118919.92889888417</v>
      </c>
      <c r="BN35" s="4">
        <f ca="1" xml:space="preserve">  Expense!BN$13</f>
        <v>125580.2127926122</v>
      </c>
      <c r="BO35" s="4">
        <f ca="1" xml:space="preserve">  Expense!BO$13</f>
        <v>132803.35560784835</v>
      </c>
      <c r="BP35" s="4">
        <f ca="1" xml:space="preserve">  Expense!BP$13</f>
        <v>140279.27150952429</v>
      </c>
      <c r="BQ35" s="4">
        <f ca="1" xml:space="preserve">  Expense!BQ$13</f>
        <v>148199.7285038837</v>
      </c>
    </row>
    <row r="36" spans="1:69" s="81" customFormat="1">
      <c r="A36" s="63"/>
      <c r="B36" s="63"/>
      <c r="C36" s="88"/>
      <c r="D36" s="90"/>
      <c r="E36" s="33" t="s">
        <v>302</v>
      </c>
      <c r="F36" s="33"/>
      <c r="G36" s="33" t="s">
        <v>258</v>
      </c>
      <c r="H36" s="33"/>
      <c r="I36" s="11">
        <f t="shared" ref="I36:BQ36" si="5" xml:space="preserve">  IF( I27 = 0, $F26, I28 + I29 + I30 - I32 + I33 + I34 + I35 - I31 )</f>
        <v>0</v>
      </c>
      <c r="J36" s="11">
        <f t="shared" ca="1" si="5"/>
        <v>0</v>
      </c>
      <c r="K36" s="11">
        <f t="shared" ca="1" si="5"/>
        <v>0</v>
      </c>
      <c r="L36" s="11">
        <f t="shared" ca="1" si="5"/>
        <v>315000</v>
      </c>
      <c r="M36" s="11">
        <f t="shared" ca="1" si="5"/>
        <v>630000</v>
      </c>
      <c r="N36" s="11">
        <f t="shared" ca="1" si="5"/>
        <v>945000</v>
      </c>
      <c r="O36" s="11">
        <f t="shared" ca="1" si="5"/>
        <v>945000</v>
      </c>
      <c r="P36" s="11">
        <f t="shared" ca="1" si="5"/>
        <v>1259999.9999999998</v>
      </c>
      <c r="Q36" s="11">
        <f t="shared" ca="1" si="5"/>
        <v>1259999.9999999995</v>
      </c>
      <c r="R36" s="11">
        <f t="shared" ca="1" si="5"/>
        <v>1280999.9999999993</v>
      </c>
      <c r="S36" s="11">
        <f t="shared" ca="1" si="5"/>
        <v>986999.9999999993</v>
      </c>
      <c r="T36" s="11">
        <f t="shared" ca="1" si="5"/>
        <v>692999.9999999993</v>
      </c>
      <c r="U36" s="11">
        <f t="shared" ca="1" si="5"/>
        <v>692999.9999999993</v>
      </c>
      <c r="V36" s="11">
        <f t="shared" ca="1" si="5"/>
        <v>398999.99999999942</v>
      </c>
      <c r="W36" s="11">
        <f t="shared" ca="1" si="5"/>
        <v>398999.99999999942</v>
      </c>
      <c r="X36" s="11">
        <f t="shared" ca="1" si="5"/>
        <v>104999.99999999948</v>
      </c>
      <c r="Y36" s="11">
        <f t="shared" ca="1" si="5"/>
        <v>262499.99999999948</v>
      </c>
      <c r="Z36" s="11">
        <f t="shared" ca="1" si="5"/>
        <v>419999.99999999942</v>
      </c>
      <c r="AA36" s="11">
        <f t="shared" ca="1" si="5"/>
        <v>577499.9999999993</v>
      </c>
      <c r="AB36" s="11">
        <f t="shared" ca="1" si="5"/>
        <v>892499.9999999993</v>
      </c>
      <c r="AC36" s="11">
        <f t="shared" ca="1" si="5"/>
        <v>1207499.9999999991</v>
      </c>
      <c r="AD36" s="11">
        <f t="shared" ca="1" si="5"/>
        <v>1364999.9999999993</v>
      </c>
      <c r="AE36" s="11">
        <f t="shared" ca="1" si="5"/>
        <v>1532999.9999999995</v>
      </c>
      <c r="AF36" s="11">
        <f t="shared" ca="1" si="5"/>
        <v>1700999.9999999995</v>
      </c>
      <c r="AG36" s="11">
        <f t="shared" ca="1" si="5"/>
        <v>1868999.9999999995</v>
      </c>
      <c r="AH36" s="11">
        <f t="shared" ca="1" si="5"/>
        <v>1889999.9999999995</v>
      </c>
      <c r="AI36" s="11">
        <f t="shared" ca="1" si="5"/>
        <v>2068500</v>
      </c>
      <c r="AJ36" s="11">
        <f t="shared" ca="1" si="5"/>
        <v>2236500</v>
      </c>
      <c r="AK36" s="11">
        <f t="shared" ca="1" si="5"/>
        <v>2415000.0000000005</v>
      </c>
      <c r="AL36" s="11">
        <f t="shared" ca="1" si="5"/>
        <v>2593500.0000000005</v>
      </c>
      <c r="AM36" s="11">
        <f t="shared" ca="1" si="5"/>
        <v>2772000.0000000005</v>
      </c>
      <c r="AN36" s="11">
        <f t="shared" ca="1" si="5"/>
        <v>3108000.0000000005</v>
      </c>
      <c r="AO36" s="11">
        <f t="shared" ca="1" si="5"/>
        <v>3297000.0000000005</v>
      </c>
      <c r="AP36" s="11">
        <f t="shared" ca="1" si="5"/>
        <v>3633000.0000000005</v>
      </c>
      <c r="AQ36" s="11">
        <f t="shared" ca="1" si="5"/>
        <v>3979500.0000000005</v>
      </c>
      <c r="AR36" s="11">
        <f t="shared" ca="1" si="5"/>
        <v>4168499.9999999995</v>
      </c>
      <c r="AS36" s="11">
        <f t="shared" ca="1" si="5"/>
        <v>4515000</v>
      </c>
      <c r="AT36" s="11">
        <f t="shared" ca="1" si="5"/>
        <v>4872000</v>
      </c>
      <c r="AU36" s="11">
        <f t="shared" ca="1" si="5"/>
        <v>5071500</v>
      </c>
      <c r="AV36" s="11">
        <f t="shared" ca="1" si="5"/>
        <v>5428499.9999999991</v>
      </c>
      <c r="AW36" s="11">
        <f t="shared" ca="1" si="5"/>
        <v>5638499.9999999981</v>
      </c>
      <c r="AX36" s="11">
        <f t="shared" ca="1" si="5"/>
        <v>6152999.9999999972</v>
      </c>
      <c r="AY36" s="11">
        <f t="shared" ca="1" si="5"/>
        <v>6520499.9999999972</v>
      </c>
      <c r="AZ36" s="11">
        <f t="shared" ca="1" si="5"/>
        <v>6740999.9999999981</v>
      </c>
      <c r="BA36" s="11">
        <f t="shared" ca="1" si="5"/>
        <v>7265999.9999999981</v>
      </c>
      <c r="BB36" s="11">
        <f t="shared" ca="1" si="5"/>
        <v>7643999.9999999991</v>
      </c>
      <c r="BC36" s="11">
        <f t="shared" ca="1" si="5"/>
        <v>8179500.0000000019</v>
      </c>
      <c r="BD36" s="11">
        <f t="shared" ca="1" si="5"/>
        <v>8568000.0000000037</v>
      </c>
      <c r="BE36" s="11">
        <f t="shared" ca="1" si="5"/>
        <v>9114000.0000000037</v>
      </c>
      <c r="BF36" s="11">
        <f t="shared" ca="1" si="5"/>
        <v>9660000.0000000037</v>
      </c>
      <c r="BG36" s="11">
        <f t="shared" ca="1" si="5"/>
        <v>10216500.000000004</v>
      </c>
      <c r="BH36" s="11">
        <f t="shared" ca="1" si="5"/>
        <v>10930500.000000002</v>
      </c>
      <c r="BI36" s="11">
        <f t="shared" ca="1" si="5"/>
        <v>11497500.000000002</v>
      </c>
      <c r="BJ36" s="11">
        <f t="shared" ca="1" si="5"/>
        <v>12222000</v>
      </c>
      <c r="BK36" s="11">
        <f t="shared" ca="1" si="5"/>
        <v>12957000</v>
      </c>
      <c r="BL36" s="11">
        <f t="shared" ca="1" si="5"/>
        <v>13849500.000000002</v>
      </c>
      <c r="BM36" s="11">
        <f t="shared" ca="1" si="5"/>
        <v>14595000</v>
      </c>
      <c r="BN36" s="11">
        <f t="shared" ca="1" si="5"/>
        <v>15508500</v>
      </c>
      <c r="BO36" s="11">
        <f t="shared" ca="1" si="5"/>
        <v>16422000</v>
      </c>
      <c r="BP36" s="11">
        <f t="shared" ca="1" si="5"/>
        <v>17503500</v>
      </c>
      <c r="BQ36" s="11">
        <f t="shared" ca="1" si="5"/>
        <v>18438000.000000004</v>
      </c>
    </row>
    <row r="38" spans="1:69">
      <c r="B38" s="25" t="s">
        <v>303</v>
      </c>
    </row>
    <row r="39" spans="1:69" s="82" customFormat="1">
      <c r="A39" s="59"/>
      <c r="B39" s="59"/>
      <c r="C39" s="87"/>
      <c r="D39" s="84"/>
      <c r="E39" s="40" t="str">
        <f xml:space="preserve">  InpC!E$51</f>
        <v>Opening Debtors</v>
      </c>
      <c r="F39" s="40">
        <f xml:space="preserve">  InpC!F$51</f>
        <v>0</v>
      </c>
      <c r="G39" s="40" t="str">
        <f xml:space="preserve">  InpC!G$51</f>
        <v>GBP</v>
      </c>
      <c r="M39" s="80"/>
    </row>
    <row r="40" spans="1:69">
      <c r="A40" s="18"/>
      <c r="B40" s="18"/>
      <c r="C40" s="28"/>
      <c r="D40" s="27"/>
      <c r="E40" s="9" t="str">
        <f xml:space="preserve">  Time!E$28</f>
        <v>Period number</v>
      </c>
      <c r="F40" s="9">
        <f xml:space="preserve">  Time!F$28</f>
        <v>0</v>
      </c>
      <c r="G40" s="9" t="str">
        <f xml:space="preserve">  Time!G$28</f>
        <v>Counter</v>
      </c>
      <c r="H40" s="9">
        <f xml:space="preserve">  Time!H$28</f>
        <v>0</v>
      </c>
      <c r="I40" s="9">
        <f xml:space="preserve">  Time!I$28</f>
        <v>0</v>
      </c>
      <c r="J40" s="9">
        <f xml:space="preserve">  Time!J$28</f>
        <v>1</v>
      </c>
      <c r="K40" s="9">
        <f xml:space="preserve">  Time!K$28</f>
        <v>2</v>
      </c>
      <c r="L40" s="9">
        <f xml:space="preserve">  Time!L$28</f>
        <v>3</v>
      </c>
      <c r="M40" s="9">
        <f xml:space="preserve">  Time!M$28</f>
        <v>4</v>
      </c>
      <c r="N40" s="9">
        <f xml:space="preserve">  Time!N$28</f>
        <v>5</v>
      </c>
      <c r="O40" s="9">
        <f xml:space="preserve">  Time!O$28</f>
        <v>6</v>
      </c>
      <c r="P40" s="9">
        <f xml:space="preserve">  Time!P$28</f>
        <v>7</v>
      </c>
      <c r="Q40" s="9">
        <f xml:space="preserve">  Time!Q$28</f>
        <v>8</v>
      </c>
      <c r="R40" s="9">
        <f xml:space="preserve">  Time!R$28</f>
        <v>9</v>
      </c>
      <c r="S40" s="9">
        <f xml:space="preserve">  Time!S$28</f>
        <v>10</v>
      </c>
      <c r="T40" s="9">
        <f xml:space="preserve">  Time!T$28</f>
        <v>11</v>
      </c>
      <c r="U40" s="9">
        <f xml:space="preserve">  Time!U$28</f>
        <v>12</v>
      </c>
      <c r="V40" s="9">
        <f xml:space="preserve">  Time!V$28</f>
        <v>13</v>
      </c>
      <c r="W40" s="9">
        <f xml:space="preserve">  Time!W$28</f>
        <v>14</v>
      </c>
      <c r="X40" s="9">
        <f xml:space="preserve">  Time!X$28</f>
        <v>15</v>
      </c>
      <c r="Y40" s="9">
        <f xml:space="preserve">  Time!Y$28</f>
        <v>16</v>
      </c>
      <c r="Z40" s="9">
        <f xml:space="preserve">  Time!Z$28</f>
        <v>17</v>
      </c>
      <c r="AA40" s="9">
        <f xml:space="preserve">  Time!AA$28</f>
        <v>18</v>
      </c>
      <c r="AB40" s="9">
        <f xml:space="preserve">  Time!AB$28</f>
        <v>19</v>
      </c>
      <c r="AC40" s="9">
        <f xml:space="preserve">  Time!AC$28</f>
        <v>20</v>
      </c>
      <c r="AD40" s="9">
        <f xml:space="preserve">  Time!AD$28</f>
        <v>21</v>
      </c>
      <c r="AE40" s="9">
        <f xml:space="preserve">  Time!AE$28</f>
        <v>22</v>
      </c>
      <c r="AF40" s="9">
        <f xml:space="preserve">  Time!AF$28</f>
        <v>23</v>
      </c>
      <c r="AG40" s="9">
        <f xml:space="preserve">  Time!AG$28</f>
        <v>24</v>
      </c>
      <c r="AH40" s="9">
        <f xml:space="preserve">  Time!AH$28</f>
        <v>25</v>
      </c>
      <c r="AI40" s="9">
        <f xml:space="preserve">  Time!AI$28</f>
        <v>26</v>
      </c>
      <c r="AJ40" s="9">
        <f xml:space="preserve">  Time!AJ$28</f>
        <v>27</v>
      </c>
      <c r="AK40" s="9">
        <f xml:space="preserve">  Time!AK$28</f>
        <v>28</v>
      </c>
      <c r="AL40" s="9">
        <f xml:space="preserve">  Time!AL$28</f>
        <v>29</v>
      </c>
      <c r="AM40" s="9">
        <f xml:space="preserve">  Time!AM$28</f>
        <v>30</v>
      </c>
      <c r="AN40" s="9">
        <f xml:space="preserve">  Time!AN$28</f>
        <v>31</v>
      </c>
      <c r="AO40" s="9">
        <f xml:space="preserve">  Time!AO$28</f>
        <v>32</v>
      </c>
      <c r="AP40" s="9">
        <f xml:space="preserve">  Time!AP$28</f>
        <v>33</v>
      </c>
      <c r="AQ40" s="9">
        <f xml:space="preserve">  Time!AQ$28</f>
        <v>34</v>
      </c>
      <c r="AR40" s="9">
        <f xml:space="preserve">  Time!AR$28</f>
        <v>35</v>
      </c>
      <c r="AS40" s="9">
        <f xml:space="preserve">  Time!AS$28</f>
        <v>36</v>
      </c>
      <c r="AT40" s="9">
        <f xml:space="preserve">  Time!AT$28</f>
        <v>37</v>
      </c>
      <c r="AU40" s="9">
        <f xml:space="preserve">  Time!AU$28</f>
        <v>38</v>
      </c>
      <c r="AV40" s="9">
        <f xml:space="preserve">  Time!AV$28</f>
        <v>39</v>
      </c>
      <c r="AW40" s="9">
        <f xml:space="preserve">  Time!AW$28</f>
        <v>40</v>
      </c>
      <c r="AX40" s="9">
        <f xml:space="preserve">  Time!AX$28</f>
        <v>41</v>
      </c>
      <c r="AY40" s="9">
        <f xml:space="preserve">  Time!AY$28</f>
        <v>42</v>
      </c>
      <c r="AZ40" s="9">
        <f xml:space="preserve">  Time!AZ$28</f>
        <v>43</v>
      </c>
      <c r="BA40" s="9">
        <f xml:space="preserve">  Time!BA$28</f>
        <v>44</v>
      </c>
      <c r="BB40" s="9">
        <f xml:space="preserve">  Time!BB$28</f>
        <v>45</v>
      </c>
      <c r="BC40" s="9">
        <f xml:space="preserve">  Time!BC$28</f>
        <v>46</v>
      </c>
      <c r="BD40" s="9">
        <f xml:space="preserve">  Time!BD$28</f>
        <v>47</v>
      </c>
      <c r="BE40" s="9">
        <f xml:space="preserve">  Time!BE$28</f>
        <v>48</v>
      </c>
      <c r="BF40" s="9">
        <f xml:space="preserve">  Time!BF$28</f>
        <v>49</v>
      </c>
      <c r="BG40" s="9">
        <f xml:space="preserve">  Time!BG$28</f>
        <v>50</v>
      </c>
      <c r="BH40" s="9">
        <f xml:space="preserve">  Time!BH$28</f>
        <v>51</v>
      </c>
      <c r="BI40" s="9">
        <f xml:space="preserve">  Time!BI$28</f>
        <v>52</v>
      </c>
      <c r="BJ40" s="9">
        <f xml:space="preserve">  Time!BJ$28</f>
        <v>53</v>
      </c>
      <c r="BK40" s="9">
        <f xml:space="preserve">  Time!BK$28</f>
        <v>54</v>
      </c>
      <c r="BL40" s="9">
        <f xml:space="preserve">  Time!BL$28</f>
        <v>55</v>
      </c>
      <c r="BM40" s="9">
        <f xml:space="preserve">  Time!BM$28</f>
        <v>56</v>
      </c>
      <c r="BN40" s="9">
        <f xml:space="preserve">  Time!BN$28</f>
        <v>57</v>
      </c>
      <c r="BO40" s="9">
        <f xml:space="preserve">  Time!BO$28</f>
        <v>58</v>
      </c>
      <c r="BP40" s="9">
        <f xml:space="preserve">  Time!BP$28</f>
        <v>59</v>
      </c>
      <c r="BQ40" s="9">
        <f xml:space="preserve">  Time!BQ$28</f>
        <v>60</v>
      </c>
    </row>
    <row r="41" spans="1:69">
      <c r="E41" s="47" t="s">
        <v>64</v>
      </c>
      <c r="G41" s="47" t="s">
        <v>258</v>
      </c>
      <c r="J41" s="2">
        <f t="shared" ref="J41:BQ41" si="6" xml:space="preserve">  I45</f>
        <v>0</v>
      </c>
      <c r="K41" s="2">
        <f t="shared" ca="1" si="6"/>
        <v>0</v>
      </c>
      <c r="L41" s="2">
        <f t="shared" ca="1" si="6"/>
        <v>172800</v>
      </c>
      <c r="M41" s="2">
        <f t="shared" ca="1" si="6"/>
        <v>345600</v>
      </c>
      <c r="N41" s="2">
        <f t="shared" ca="1" si="6"/>
        <v>345600</v>
      </c>
      <c r="O41" s="2">
        <f t="shared" ca="1" si="6"/>
        <v>345600</v>
      </c>
      <c r="P41" s="2">
        <f t="shared" ca="1" si="6"/>
        <v>518400</v>
      </c>
      <c r="Q41" s="2">
        <f t="shared" ca="1" si="6"/>
        <v>1036800</v>
      </c>
      <c r="R41" s="2">
        <f t="shared" ca="1" si="6"/>
        <v>1209600</v>
      </c>
      <c r="S41" s="2">
        <f t="shared" ca="1" si="6"/>
        <v>1036800</v>
      </c>
      <c r="T41" s="2">
        <f t="shared" ca="1" si="6"/>
        <v>518400</v>
      </c>
      <c r="U41" s="2">
        <f t="shared" ca="1" si="6"/>
        <v>1728000</v>
      </c>
      <c r="V41" s="2">
        <f t="shared" ca="1" si="6"/>
        <v>1728000</v>
      </c>
      <c r="W41" s="2">
        <f t="shared" ca="1" si="6"/>
        <v>1728000</v>
      </c>
      <c r="X41" s="2">
        <f t="shared" ca="1" si="6"/>
        <v>3161776.1135264309</v>
      </c>
      <c r="Y41" s="2">
        <f t="shared" ca="1" si="6"/>
        <v>2073600</v>
      </c>
      <c r="Z41" s="2">
        <f t="shared" ca="1" si="6"/>
        <v>2342882.1571016493</v>
      </c>
      <c r="AA41" s="2">
        <f t="shared" ca="1" si="6"/>
        <v>2073600.0000000005</v>
      </c>
      <c r="AB41" s="2">
        <f t="shared" ca="1" si="6"/>
        <v>716141.72937192069</v>
      </c>
      <c r="AC41" s="2">
        <f t="shared" ca="1" si="6"/>
        <v>1036800.0000000005</v>
      </c>
      <c r="AD41" s="2">
        <f t="shared" ca="1" si="6"/>
        <v>1209600.0000000005</v>
      </c>
      <c r="AE41" s="2">
        <f t="shared" ca="1" si="6"/>
        <v>1036800.0000000005</v>
      </c>
      <c r="AF41" s="2">
        <f t="shared" ca="1" si="6"/>
        <v>518400.00000000047</v>
      </c>
      <c r="AG41" s="2">
        <f t="shared" ca="1" si="6"/>
        <v>2592000.0000000005</v>
      </c>
      <c r="AH41" s="2">
        <f t="shared" ca="1" si="6"/>
        <v>3456000.0000000005</v>
      </c>
      <c r="AI41" s="2">
        <f t="shared" ca="1" si="6"/>
        <v>3456000</v>
      </c>
      <c r="AJ41" s="2">
        <f t="shared" ca="1" si="6"/>
        <v>5580976.1135264309</v>
      </c>
      <c r="AK41" s="2">
        <f t="shared" ca="1" si="6"/>
        <v>5184000</v>
      </c>
      <c r="AL41" s="2">
        <f t="shared" ca="1" si="6"/>
        <v>4589282.1571016489</v>
      </c>
      <c r="AM41" s="2">
        <f t="shared" ca="1" si="6"/>
        <v>4320000</v>
      </c>
      <c r="AN41" s="2">
        <f t="shared" ca="1" si="6"/>
        <v>3653741.7293719202</v>
      </c>
      <c r="AO41" s="2">
        <f t="shared" ca="1" si="6"/>
        <v>3456000</v>
      </c>
      <c r="AP41" s="2">
        <f t="shared" ca="1" si="6"/>
        <v>3456000</v>
      </c>
      <c r="AQ41" s="2">
        <f t="shared" ca="1" si="6"/>
        <v>4320000</v>
      </c>
      <c r="AR41" s="2">
        <f t="shared" ca="1" si="6"/>
        <v>4320000</v>
      </c>
      <c r="AS41" s="2">
        <f t="shared" ca="1" si="6"/>
        <v>5184000</v>
      </c>
      <c r="AT41" s="2">
        <f t="shared" ca="1" si="6"/>
        <v>6912000</v>
      </c>
      <c r="AU41" s="2">
        <f t="shared" ca="1" si="6"/>
        <v>6912000</v>
      </c>
      <c r="AV41" s="2">
        <f t="shared" ca="1" si="6"/>
        <v>8640000</v>
      </c>
      <c r="AW41" s="2">
        <f t="shared" ca="1" si="6"/>
        <v>10368000</v>
      </c>
      <c r="AX41" s="2">
        <f t="shared" ca="1" si="6"/>
        <v>9504000</v>
      </c>
      <c r="AY41" s="2">
        <f t="shared" ca="1" si="6"/>
        <v>10368000</v>
      </c>
      <c r="AZ41" s="2">
        <f t="shared" ca="1" si="6"/>
        <v>11232000</v>
      </c>
      <c r="BA41" s="2">
        <f t="shared" ca="1" si="6"/>
        <v>11232000</v>
      </c>
      <c r="BB41" s="2">
        <f t="shared" ca="1" si="6"/>
        <v>12960000</v>
      </c>
      <c r="BC41" s="2">
        <f t="shared" ca="1" si="6"/>
        <v>13824000</v>
      </c>
      <c r="BD41" s="2">
        <f t="shared" ca="1" si="6"/>
        <v>13824000</v>
      </c>
      <c r="BE41" s="2">
        <f t="shared" ca="1" si="6"/>
        <v>14688000</v>
      </c>
      <c r="BF41" s="2">
        <f t="shared" ca="1" si="6"/>
        <v>16416000</v>
      </c>
      <c r="BG41" s="2">
        <f t="shared" ca="1" si="6"/>
        <v>17280000</v>
      </c>
      <c r="BH41" s="2">
        <f t="shared" ca="1" si="6"/>
        <v>18144000</v>
      </c>
      <c r="BI41" s="2">
        <f t="shared" ca="1" si="6"/>
        <v>19872000</v>
      </c>
      <c r="BJ41" s="2">
        <f t="shared" ca="1" si="6"/>
        <v>20736000</v>
      </c>
      <c r="BK41" s="2">
        <f t="shared" ca="1" si="6"/>
        <v>22464000</v>
      </c>
      <c r="BL41" s="2">
        <f t="shared" ca="1" si="6"/>
        <v>23328000</v>
      </c>
      <c r="BM41" s="2">
        <f t="shared" ca="1" si="6"/>
        <v>24192000</v>
      </c>
      <c r="BN41" s="2">
        <f t="shared" ca="1" si="6"/>
        <v>26784000</v>
      </c>
      <c r="BO41" s="2">
        <f t="shared" ca="1" si="6"/>
        <v>27648000</v>
      </c>
      <c r="BP41" s="2">
        <f t="shared" ca="1" si="6"/>
        <v>29376000</v>
      </c>
      <c r="BQ41" s="2">
        <f t="shared" ca="1" si="6"/>
        <v>31104000.000000004</v>
      </c>
    </row>
    <row r="42" spans="1:69">
      <c r="A42" s="18"/>
      <c r="B42" s="18"/>
      <c r="C42" s="28"/>
      <c r="D42" s="27" t="s">
        <v>219</v>
      </c>
      <c r="E42" s="4" t="str">
        <f xml:space="preserve">  Income!E$12</f>
        <v>New Deferred Income from customer orders</v>
      </c>
      <c r="F42" s="4">
        <f xml:space="preserve">  Income!F$12</f>
        <v>0</v>
      </c>
      <c r="G42" s="4" t="str">
        <f xml:space="preserve">  Income!G$12</f>
        <v>GBP</v>
      </c>
      <c r="H42" s="4">
        <f ca="1" xml:space="preserve">  Income!H$12</f>
        <v>223488000</v>
      </c>
      <c r="I42" s="4">
        <f xml:space="preserve">  Income!I$12</f>
        <v>0</v>
      </c>
      <c r="J42" s="4">
        <f ca="1" xml:space="preserve">  Income!J$12</f>
        <v>0</v>
      </c>
      <c r="K42" s="4">
        <f ca="1" xml:space="preserve">  Income!K$12</f>
        <v>144000</v>
      </c>
      <c r="L42" s="4">
        <f ca="1" xml:space="preserve">  Income!L$12</f>
        <v>144000</v>
      </c>
      <c r="M42" s="4">
        <f ca="1" xml:space="preserve">  Income!M$12</f>
        <v>144000</v>
      </c>
      <c r="N42" s="4">
        <f ca="1" xml:space="preserve">  Income!N$12</f>
        <v>144000</v>
      </c>
      <c r="O42" s="4">
        <f ca="1" xml:space="preserve">  Income!O$12</f>
        <v>288000</v>
      </c>
      <c r="P42" s="4">
        <f ca="1" xml:space="preserve">  Income!P$12</f>
        <v>576000</v>
      </c>
      <c r="Q42" s="4">
        <f ca="1" xml:space="preserve">  Income!Q$12</f>
        <v>432000</v>
      </c>
      <c r="R42" s="4">
        <f ca="1" xml:space="preserve">  Income!R$12</f>
        <v>432000</v>
      </c>
      <c r="S42" s="4">
        <f ca="1" xml:space="preserve">  Income!S$12</f>
        <v>0</v>
      </c>
      <c r="T42" s="4">
        <f ca="1" xml:space="preserve">  Income!T$12</f>
        <v>1440000</v>
      </c>
      <c r="U42" s="4">
        <f ca="1" xml:space="preserve">  Income!U$12</f>
        <v>0</v>
      </c>
      <c r="V42" s="4">
        <f ca="1" xml:space="preserve">  Income!V$12</f>
        <v>1440000</v>
      </c>
      <c r="W42" s="4">
        <f ca="1" xml:space="preserve">  Income!W$12</f>
        <v>1194813.4279386925</v>
      </c>
      <c r="X42" s="4">
        <f ca="1" xml:space="preserve">  Income!X$12</f>
        <v>533186.5720613075</v>
      </c>
      <c r="Y42" s="4">
        <f ca="1" xml:space="preserve">  Income!Y$12</f>
        <v>1419215.2255233999</v>
      </c>
      <c r="Z42" s="4">
        <f ca="1" xml:space="preserve">  Income!Z$12</f>
        <v>308784.77447660017</v>
      </c>
      <c r="AA42" s="4">
        <f ca="1" xml:space="preserve">  Income!AA$12</f>
        <v>288000</v>
      </c>
      <c r="AB42" s="4">
        <f ca="1" xml:space="preserve">  Income!AB$12</f>
        <v>576000</v>
      </c>
      <c r="AC42" s="4">
        <f ca="1" xml:space="preserve">  Income!AC$12</f>
        <v>432000</v>
      </c>
      <c r="AD42" s="4">
        <f ca="1" xml:space="preserve">  Income!AD$12</f>
        <v>432000</v>
      </c>
      <c r="AE42" s="4">
        <f ca="1" xml:space="preserve">  Income!AE$12</f>
        <v>0</v>
      </c>
      <c r="AF42" s="4">
        <f ca="1" xml:space="preserve">  Income!AF$12</f>
        <v>2160000</v>
      </c>
      <c r="AG42" s="4">
        <f ca="1" xml:space="preserve">  Income!AG$12</f>
        <v>720000</v>
      </c>
      <c r="AH42" s="4">
        <f ca="1" xml:space="preserve">  Income!AH$12</f>
        <v>2160000</v>
      </c>
      <c r="AI42" s="4">
        <f ca="1" xml:space="preserve">  Income!AI$12</f>
        <v>2490813.4279386923</v>
      </c>
      <c r="AJ42" s="4">
        <f ca="1" xml:space="preserve">  Income!AJ$12</f>
        <v>1829186.5720613075</v>
      </c>
      <c r="AK42" s="4">
        <f ca="1" xml:space="preserve">  Income!AK$12</f>
        <v>1995215.2255233999</v>
      </c>
      <c r="AL42" s="4">
        <f ca="1" xml:space="preserve">  Income!AL$12</f>
        <v>1604784.7744766001</v>
      </c>
      <c r="AM42" s="4">
        <f ca="1" xml:space="preserve">  Income!AM$12</f>
        <v>1440000</v>
      </c>
      <c r="AN42" s="4">
        <f ca="1" xml:space="preserve">  Income!AN$12</f>
        <v>1440000</v>
      </c>
      <c r="AO42" s="4">
        <f ca="1" xml:space="preserve">  Income!AO$12</f>
        <v>1440000</v>
      </c>
      <c r="AP42" s="4">
        <f ca="1" xml:space="preserve">  Income!AP$12</f>
        <v>2160000</v>
      </c>
      <c r="AQ42" s="4">
        <f ca="1" xml:space="preserve">  Income!AQ$12</f>
        <v>1440000</v>
      </c>
      <c r="AR42" s="4">
        <f ca="1" xml:space="preserve">  Income!AR$12</f>
        <v>2880000</v>
      </c>
      <c r="AS42" s="4">
        <f ca="1" xml:space="preserve">  Income!AS$12</f>
        <v>2880000</v>
      </c>
      <c r="AT42" s="4">
        <f ca="1" xml:space="preserve">  Income!AT$12</f>
        <v>2880000</v>
      </c>
      <c r="AU42" s="4">
        <f ca="1" xml:space="preserve">  Income!AU$12</f>
        <v>4320000</v>
      </c>
      <c r="AV42" s="4">
        <f ca="1" xml:space="preserve">  Income!AV$12</f>
        <v>4320000</v>
      </c>
      <c r="AW42" s="4">
        <f ca="1" xml:space="preserve">  Income!AW$12</f>
        <v>3600000</v>
      </c>
      <c r="AX42" s="4">
        <f ca="1" xml:space="preserve">  Income!AX$12</f>
        <v>5040000</v>
      </c>
      <c r="AY42" s="4">
        <f ca="1" xml:space="preserve">  Income!AY$12</f>
        <v>4320000</v>
      </c>
      <c r="AZ42" s="4">
        <f ca="1" xml:space="preserve">  Income!AZ$12</f>
        <v>5040000</v>
      </c>
      <c r="BA42" s="4">
        <f ca="1" xml:space="preserve">  Income!BA$12</f>
        <v>5760000</v>
      </c>
      <c r="BB42" s="4">
        <f ca="1" xml:space="preserve">  Income!BB$12</f>
        <v>5760000</v>
      </c>
      <c r="BC42" s="4">
        <f ca="1" xml:space="preserve">  Income!BC$12</f>
        <v>5760000</v>
      </c>
      <c r="BD42" s="4">
        <f ca="1" xml:space="preserve">  Income!BD$12</f>
        <v>6480000.0000000009</v>
      </c>
      <c r="BE42" s="4">
        <f ca="1" xml:space="preserve">  Income!BE$12</f>
        <v>7200000</v>
      </c>
      <c r="BF42" s="4">
        <f ca="1" xml:space="preserve">  Income!BF$12</f>
        <v>7200000</v>
      </c>
      <c r="BG42" s="4">
        <f ca="1" xml:space="preserve">  Income!BG$12</f>
        <v>7920000</v>
      </c>
      <c r="BH42" s="4">
        <f ca="1" xml:space="preserve">  Income!BH$12</f>
        <v>8640000</v>
      </c>
      <c r="BI42" s="4">
        <f ca="1" xml:space="preserve">  Income!BI$12</f>
        <v>8640000</v>
      </c>
      <c r="BJ42" s="4">
        <f ca="1" xml:space="preserve">  Income!BJ$12</f>
        <v>10080000</v>
      </c>
      <c r="BK42" s="4">
        <f ca="1" xml:space="preserve">  Income!BK$12</f>
        <v>9360000</v>
      </c>
      <c r="BL42" s="4">
        <f ca="1" xml:space="preserve">  Income!BL$12</f>
        <v>10799999.999999998</v>
      </c>
      <c r="BM42" s="4">
        <f ca="1" xml:space="preserve">  Income!BM$12</f>
        <v>11520000.000000002</v>
      </c>
      <c r="BN42" s="4">
        <f ca="1" xml:space="preserve">  Income!BN$12</f>
        <v>11519999.999999996</v>
      </c>
      <c r="BO42" s="4">
        <f ca="1" xml:space="preserve">  Income!BO$12</f>
        <v>12960000</v>
      </c>
      <c r="BP42" s="4">
        <f ca="1" xml:space="preserve">  Income!BP$12</f>
        <v>12960000</v>
      </c>
      <c r="BQ42" s="4">
        <f ca="1" xml:space="preserve">  Income!BQ$12</f>
        <v>14400000</v>
      </c>
    </row>
    <row r="43" spans="1:69">
      <c r="A43" s="18"/>
      <c r="B43" s="18"/>
      <c r="C43" s="28"/>
      <c r="D43" s="27" t="s">
        <v>219</v>
      </c>
      <c r="E43" s="4" t="str">
        <f xml:space="preserve">  VAT!E$17</f>
        <v>Output VAT</v>
      </c>
      <c r="F43" s="4">
        <f xml:space="preserve">  VAT!F$17</f>
        <v>0</v>
      </c>
      <c r="G43" s="4" t="str">
        <f xml:space="preserve">  VAT!G$17</f>
        <v>GBP</v>
      </c>
      <c r="H43" s="4">
        <f ca="1" xml:space="preserve">  VAT!H$17</f>
        <v>44697600</v>
      </c>
      <c r="I43" s="4">
        <f xml:space="preserve">  VAT!I$17</f>
        <v>0</v>
      </c>
      <c r="J43" s="4">
        <f ca="1" xml:space="preserve">  VAT!J$17</f>
        <v>0</v>
      </c>
      <c r="K43" s="4">
        <f ca="1" xml:space="preserve">  VAT!K$17</f>
        <v>28800</v>
      </c>
      <c r="L43" s="4">
        <f ca="1" xml:space="preserve">  VAT!L$17</f>
        <v>28800</v>
      </c>
      <c r="M43" s="4">
        <f ca="1" xml:space="preserve">  VAT!M$17</f>
        <v>28800</v>
      </c>
      <c r="N43" s="4">
        <f ca="1" xml:space="preserve">  VAT!N$17</f>
        <v>28800</v>
      </c>
      <c r="O43" s="4">
        <f ca="1" xml:space="preserve">  VAT!O$17</f>
        <v>57600</v>
      </c>
      <c r="P43" s="4">
        <f ca="1" xml:space="preserve">  VAT!P$17</f>
        <v>115200</v>
      </c>
      <c r="Q43" s="4">
        <f ca="1" xml:space="preserve">  VAT!Q$17</f>
        <v>86400</v>
      </c>
      <c r="R43" s="4">
        <f ca="1" xml:space="preserve">  VAT!R$17</f>
        <v>86400</v>
      </c>
      <c r="S43" s="4">
        <f ca="1" xml:space="preserve">  VAT!S$17</f>
        <v>0</v>
      </c>
      <c r="T43" s="4">
        <f ca="1" xml:space="preserve">  VAT!T$17</f>
        <v>288000</v>
      </c>
      <c r="U43" s="4">
        <f ca="1" xml:space="preserve">  VAT!U$17</f>
        <v>0</v>
      </c>
      <c r="V43" s="4">
        <f ca="1" xml:space="preserve">  VAT!V$17</f>
        <v>288000</v>
      </c>
      <c r="W43" s="4">
        <f ca="1" xml:space="preserve">  VAT!W$17</f>
        <v>238962.68558773852</v>
      </c>
      <c r="X43" s="4">
        <f ca="1" xml:space="preserve">  VAT!X$17</f>
        <v>106637.3144122615</v>
      </c>
      <c r="Y43" s="4">
        <f ca="1" xml:space="preserve">  VAT!Y$17</f>
        <v>283843.04510468</v>
      </c>
      <c r="Z43" s="4">
        <f ca="1" xml:space="preserve">  VAT!Z$17</f>
        <v>61756.954895320036</v>
      </c>
      <c r="AA43" s="4">
        <f ca="1" xml:space="preserve">  VAT!AA$17</f>
        <v>57600</v>
      </c>
      <c r="AB43" s="4">
        <f ca="1" xml:space="preserve">  VAT!AB$17</f>
        <v>115200</v>
      </c>
      <c r="AC43" s="4">
        <f ca="1" xml:space="preserve">  VAT!AC$17</f>
        <v>86400</v>
      </c>
      <c r="AD43" s="4">
        <f ca="1" xml:space="preserve">  VAT!AD$17</f>
        <v>86400</v>
      </c>
      <c r="AE43" s="4">
        <f ca="1" xml:space="preserve">  VAT!AE$17</f>
        <v>0</v>
      </c>
      <c r="AF43" s="4">
        <f ca="1" xml:space="preserve">  VAT!AF$17</f>
        <v>432000</v>
      </c>
      <c r="AG43" s="4">
        <f ca="1" xml:space="preserve">  VAT!AG$17</f>
        <v>144000</v>
      </c>
      <c r="AH43" s="4">
        <f ca="1" xml:space="preserve">  VAT!AH$17</f>
        <v>432000</v>
      </c>
      <c r="AI43" s="4">
        <f ca="1" xml:space="preserve">  VAT!AI$17</f>
        <v>498162.68558773847</v>
      </c>
      <c r="AJ43" s="4">
        <f ca="1" xml:space="preserve">  VAT!AJ$17</f>
        <v>365837.31441226153</v>
      </c>
      <c r="AK43" s="4">
        <f ca="1" xml:space="preserve">  VAT!AK$17</f>
        <v>399043.04510468</v>
      </c>
      <c r="AL43" s="4">
        <f ca="1" xml:space="preserve">  VAT!AL$17</f>
        <v>320956.95489532006</v>
      </c>
      <c r="AM43" s="4">
        <f ca="1" xml:space="preserve">  VAT!AM$17</f>
        <v>288000</v>
      </c>
      <c r="AN43" s="4">
        <f ca="1" xml:space="preserve">  VAT!AN$17</f>
        <v>288000</v>
      </c>
      <c r="AO43" s="4">
        <f ca="1" xml:space="preserve">  VAT!AO$17</f>
        <v>288000</v>
      </c>
      <c r="AP43" s="4">
        <f ca="1" xml:space="preserve">  VAT!AP$17</f>
        <v>432000</v>
      </c>
      <c r="AQ43" s="4">
        <f ca="1" xml:space="preserve">  VAT!AQ$17</f>
        <v>288000</v>
      </c>
      <c r="AR43" s="4">
        <f ca="1" xml:space="preserve">  VAT!AR$17</f>
        <v>576000</v>
      </c>
      <c r="AS43" s="4">
        <f ca="1" xml:space="preserve">  VAT!AS$17</f>
        <v>576000</v>
      </c>
      <c r="AT43" s="4">
        <f ca="1" xml:space="preserve">  VAT!AT$17</f>
        <v>576000</v>
      </c>
      <c r="AU43" s="4">
        <f ca="1" xml:space="preserve">  VAT!AU$17</f>
        <v>864000</v>
      </c>
      <c r="AV43" s="4">
        <f ca="1" xml:space="preserve">  VAT!AV$17</f>
        <v>864000</v>
      </c>
      <c r="AW43" s="4">
        <f ca="1" xml:space="preserve">  VAT!AW$17</f>
        <v>720000</v>
      </c>
      <c r="AX43" s="4">
        <f ca="1" xml:space="preserve">  VAT!AX$17</f>
        <v>1008000</v>
      </c>
      <c r="AY43" s="4">
        <f ca="1" xml:space="preserve">  VAT!AY$17</f>
        <v>864000</v>
      </c>
      <c r="AZ43" s="4">
        <f ca="1" xml:space="preserve">  VAT!AZ$17</f>
        <v>1008000</v>
      </c>
      <c r="BA43" s="4">
        <f ca="1" xml:space="preserve">  VAT!BA$17</f>
        <v>1152000</v>
      </c>
      <c r="BB43" s="4">
        <f ca="1" xml:space="preserve">  VAT!BB$17</f>
        <v>1152000</v>
      </c>
      <c r="BC43" s="4">
        <f ca="1" xml:space="preserve">  VAT!BC$17</f>
        <v>1152000</v>
      </c>
      <c r="BD43" s="4">
        <f ca="1" xml:space="preserve">  VAT!BD$17</f>
        <v>1296000.0000000002</v>
      </c>
      <c r="BE43" s="4">
        <f ca="1" xml:space="preserve">  VAT!BE$17</f>
        <v>1440000</v>
      </c>
      <c r="BF43" s="4">
        <f ca="1" xml:space="preserve">  VAT!BF$17</f>
        <v>1440000</v>
      </c>
      <c r="BG43" s="4">
        <f ca="1" xml:space="preserve">  VAT!BG$17</f>
        <v>1584000</v>
      </c>
      <c r="BH43" s="4">
        <f ca="1" xml:space="preserve">  VAT!BH$17</f>
        <v>1728000</v>
      </c>
      <c r="BI43" s="4">
        <f ca="1" xml:space="preserve">  VAT!BI$17</f>
        <v>1728000</v>
      </c>
      <c r="BJ43" s="4">
        <f ca="1" xml:space="preserve">  VAT!BJ$17</f>
        <v>2016000</v>
      </c>
      <c r="BK43" s="4">
        <f ca="1" xml:space="preserve">  VAT!BK$17</f>
        <v>1872000</v>
      </c>
      <c r="BL43" s="4">
        <f ca="1" xml:space="preserve">  VAT!BL$17</f>
        <v>2159999.9999999995</v>
      </c>
      <c r="BM43" s="4">
        <f ca="1" xml:space="preserve">  VAT!BM$17</f>
        <v>2304000.0000000005</v>
      </c>
      <c r="BN43" s="4">
        <f ca="1" xml:space="preserve">  VAT!BN$17</f>
        <v>2303999.9999999995</v>
      </c>
      <c r="BO43" s="4">
        <f ca="1" xml:space="preserve">  VAT!BO$17</f>
        <v>2592000</v>
      </c>
      <c r="BP43" s="4">
        <f ca="1" xml:space="preserve">  VAT!BP$17</f>
        <v>2592000</v>
      </c>
      <c r="BQ43" s="4">
        <f ca="1" xml:space="preserve">  VAT!BQ$17</f>
        <v>2880000</v>
      </c>
    </row>
    <row r="44" spans="1:69">
      <c r="D44" s="91" t="s">
        <v>300</v>
      </c>
      <c r="E44" s="2" t="str">
        <f t="shared" ref="E44:BQ44" si="7" xml:space="preserve">  E$22</f>
        <v>Cash in from Sales</v>
      </c>
      <c r="F44" s="2">
        <f t="shared" si="7"/>
        <v>0</v>
      </c>
      <c r="G44" s="2" t="str">
        <f t="shared" si="7"/>
        <v>GBP</v>
      </c>
      <c r="H44" s="2">
        <f t="shared" ca="1" si="7"/>
        <v>235353600</v>
      </c>
      <c r="I44" s="2">
        <f t="shared" si="7"/>
        <v>0</v>
      </c>
      <c r="J44" s="2">
        <f t="shared" ca="1" si="7"/>
        <v>0</v>
      </c>
      <c r="K44" s="2">
        <f t="shared" ca="1" si="7"/>
        <v>0</v>
      </c>
      <c r="L44" s="2">
        <f t="shared" ca="1" si="7"/>
        <v>0</v>
      </c>
      <c r="M44" s="2">
        <f t="shared" ca="1" si="7"/>
        <v>172800</v>
      </c>
      <c r="N44" s="2">
        <f t="shared" ca="1" si="7"/>
        <v>172800</v>
      </c>
      <c r="O44" s="2">
        <f t="shared" ca="1" si="7"/>
        <v>172800</v>
      </c>
      <c r="P44" s="2">
        <f t="shared" ca="1" si="7"/>
        <v>172800</v>
      </c>
      <c r="Q44" s="2">
        <f t="shared" ca="1" si="7"/>
        <v>345600</v>
      </c>
      <c r="R44" s="2">
        <f t="shared" ca="1" si="7"/>
        <v>691200</v>
      </c>
      <c r="S44" s="2">
        <f t="shared" ca="1" si="7"/>
        <v>518400</v>
      </c>
      <c r="T44" s="2">
        <f t="shared" ca="1" si="7"/>
        <v>518400</v>
      </c>
      <c r="U44" s="2">
        <f t="shared" ca="1" si="7"/>
        <v>0</v>
      </c>
      <c r="V44" s="2">
        <f t="shared" ca="1" si="7"/>
        <v>1728000</v>
      </c>
      <c r="W44" s="2">
        <f t="shared" ca="1" si="7"/>
        <v>0</v>
      </c>
      <c r="X44" s="2">
        <f t="shared" ca="1" si="7"/>
        <v>1728000</v>
      </c>
      <c r="Y44" s="2">
        <f t="shared" ca="1" si="7"/>
        <v>1433776.1135264309</v>
      </c>
      <c r="Z44" s="2">
        <f t="shared" ca="1" si="7"/>
        <v>639823.88647356897</v>
      </c>
      <c r="AA44" s="2">
        <f t="shared" ca="1" si="7"/>
        <v>1703058.2706280798</v>
      </c>
      <c r="AB44" s="2">
        <f t="shared" ca="1" si="7"/>
        <v>370541.72937192023</v>
      </c>
      <c r="AC44" s="2">
        <f t="shared" ca="1" si="7"/>
        <v>345600</v>
      </c>
      <c r="AD44" s="2">
        <f t="shared" ca="1" si="7"/>
        <v>691200</v>
      </c>
      <c r="AE44" s="2">
        <f t="shared" ca="1" si="7"/>
        <v>518400</v>
      </c>
      <c r="AF44" s="2">
        <f t="shared" ca="1" si="7"/>
        <v>518400</v>
      </c>
      <c r="AG44" s="2">
        <f t="shared" ca="1" si="7"/>
        <v>0</v>
      </c>
      <c r="AH44" s="2">
        <f t="shared" ca="1" si="7"/>
        <v>2592000</v>
      </c>
      <c r="AI44" s="2">
        <f t="shared" ca="1" si="7"/>
        <v>864000</v>
      </c>
      <c r="AJ44" s="2">
        <f t="shared" ca="1" si="7"/>
        <v>2592000</v>
      </c>
      <c r="AK44" s="2">
        <f t="shared" ca="1" si="7"/>
        <v>2988976.1135264309</v>
      </c>
      <c r="AL44" s="2">
        <f t="shared" ca="1" si="7"/>
        <v>2195023.8864735691</v>
      </c>
      <c r="AM44" s="2">
        <f t="shared" ca="1" si="7"/>
        <v>2394258.2706280798</v>
      </c>
      <c r="AN44" s="2">
        <f t="shared" ca="1" si="7"/>
        <v>1925741.7293719202</v>
      </c>
      <c r="AO44" s="2">
        <f t="shared" ca="1" si="7"/>
        <v>1728000</v>
      </c>
      <c r="AP44" s="2">
        <f t="shared" ca="1" si="7"/>
        <v>1728000</v>
      </c>
      <c r="AQ44" s="2">
        <f t="shared" ca="1" si="7"/>
        <v>1728000</v>
      </c>
      <c r="AR44" s="2">
        <f t="shared" ca="1" si="7"/>
        <v>2592000</v>
      </c>
      <c r="AS44" s="2">
        <f t="shared" ca="1" si="7"/>
        <v>1728000</v>
      </c>
      <c r="AT44" s="2">
        <f t="shared" ca="1" si="7"/>
        <v>3456000</v>
      </c>
      <c r="AU44" s="2">
        <f t="shared" ca="1" si="7"/>
        <v>3456000</v>
      </c>
      <c r="AV44" s="2">
        <f t="shared" ca="1" si="7"/>
        <v>3456000</v>
      </c>
      <c r="AW44" s="2">
        <f t="shared" ca="1" si="7"/>
        <v>5184000</v>
      </c>
      <c r="AX44" s="2">
        <f t="shared" ca="1" si="7"/>
        <v>5184000</v>
      </c>
      <c r="AY44" s="2">
        <f t="shared" ca="1" si="7"/>
        <v>4320000</v>
      </c>
      <c r="AZ44" s="2">
        <f t="shared" ca="1" si="7"/>
        <v>6048000</v>
      </c>
      <c r="BA44" s="2">
        <f t="shared" ca="1" si="7"/>
        <v>5184000</v>
      </c>
      <c r="BB44" s="2">
        <f t="shared" ca="1" si="7"/>
        <v>6048000</v>
      </c>
      <c r="BC44" s="2">
        <f t="shared" ca="1" si="7"/>
        <v>6912000</v>
      </c>
      <c r="BD44" s="2">
        <f t="shared" ca="1" si="7"/>
        <v>6912000</v>
      </c>
      <c r="BE44" s="2">
        <f t="shared" ca="1" si="7"/>
        <v>6912000</v>
      </c>
      <c r="BF44" s="2">
        <f t="shared" ca="1" si="7"/>
        <v>7776000.0000000009</v>
      </c>
      <c r="BG44" s="2">
        <f t="shared" ca="1" si="7"/>
        <v>8640000</v>
      </c>
      <c r="BH44" s="2">
        <f t="shared" ca="1" si="7"/>
        <v>8640000</v>
      </c>
      <c r="BI44" s="2">
        <f t="shared" ca="1" si="7"/>
        <v>9504000</v>
      </c>
      <c r="BJ44" s="2">
        <f t="shared" ca="1" si="7"/>
        <v>10368000</v>
      </c>
      <c r="BK44" s="2">
        <f t="shared" ca="1" si="7"/>
        <v>10368000</v>
      </c>
      <c r="BL44" s="2">
        <f t="shared" ca="1" si="7"/>
        <v>12096000</v>
      </c>
      <c r="BM44" s="2">
        <f t="shared" ca="1" si="7"/>
        <v>11232000</v>
      </c>
      <c r="BN44" s="2">
        <f t="shared" ca="1" si="7"/>
        <v>12959999.999999998</v>
      </c>
      <c r="BO44" s="2">
        <f t="shared" ca="1" si="7"/>
        <v>13824000.000000002</v>
      </c>
      <c r="BP44" s="2">
        <f t="shared" ca="1" si="7"/>
        <v>13823999.999999996</v>
      </c>
      <c r="BQ44" s="2">
        <f t="shared" ca="1" si="7"/>
        <v>15552000</v>
      </c>
    </row>
    <row r="45" spans="1:69" s="81" customFormat="1">
      <c r="A45" s="63"/>
      <c r="B45" s="63"/>
      <c r="C45" s="88"/>
      <c r="D45" s="90"/>
      <c r="E45" s="33" t="s">
        <v>303</v>
      </c>
      <c r="F45" s="33"/>
      <c r="G45" s="33" t="s">
        <v>258</v>
      </c>
      <c r="H45" s="33"/>
      <c r="I45" s="11">
        <f t="shared" ref="I45:BQ45" si="8" xml:space="preserve">  IF( I40 = 0, $F39, I41 + I42 + I43 - I44 )</f>
        <v>0</v>
      </c>
      <c r="J45" s="11">
        <f t="shared" ca="1" si="8"/>
        <v>0</v>
      </c>
      <c r="K45" s="11">
        <f t="shared" ca="1" si="8"/>
        <v>172800</v>
      </c>
      <c r="L45" s="11">
        <f t="shared" ca="1" si="8"/>
        <v>345600</v>
      </c>
      <c r="M45" s="11">
        <f t="shared" ca="1" si="8"/>
        <v>345600</v>
      </c>
      <c r="N45" s="11">
        <f t="shared" ca="1" si="8"/>
        <v>345600</v>
      </c>
      <c r="O45" s="11">
        <f t="shared" ca="1" si="8"/>
        <v>518400</v>
      </c>
      <c r="P45" s="11">
        <f t="shared" ca="1" si="8"/>
        <v>1036800</v>
      </c>
      <c r="Q45" s="11">
        <f t="shared" ca="1" si="8"/>
        <v>1209600</v>
      </c>
      <c r="R45" s="11">
        <f t="shared" ca="1" si="8"/>
        <v>1036800</v>
      </c>
      <c r="S45" s="11">
        <f t="shared" ca="1" si="8"/>
        <v>518400</v>
      </c>
      <c r="T45" s="11">
        <f t="shared" ca="1" si="8"/>
        <v>1728000</v>
      </c>
      <c r="U45" s="11">
        <f t="shared" ca="1" si="8"/>
        <v>1728000</v>
      </c>
      <c r="V45" s="11">
        <f t="shared" ca="1" si="8"/>
        <v>1728000</v>
      </c>
      <c r="W45" s="11">
        <f t="shared" ca="1" si="8"/>
        <v>3161776.1135264309</v>
      </c>
      <c r="X45" s="11">
        <f t="shared" ca="1" si="8"/>
        <v>2073600</v>
      </c>
      <c r="Y45" s="11">
        <f t="shared" ca="1" si="8"/>
        <v>2342882.1571016493</v>
      </c>
      <c r="Z45" s="11">
        <f t="shared" ca="1" si="8"/>
        <v>2073600.0000000005</v>
      </c>
      <c r="AA45" s="11">
        <f t="shared" ca="1" si="8"/>
        <v>716141.72937192069</v>
      </c>
      <c r="AB45" s="11">
        <f t="shared" ca="1" si="8"/>
        <v>1036800.0000000005</v>
      </c>
      <c r="AC45" s="11">
        <f t="shared" ca="1" si="8"/>
        <v>1209600.0000000005</v>
      </c>
      <c r="AD45" s="11">
        <f t="shared" ca="1" si="8"/>
        <v>1036800.0000000005</v>
      </c>
      <c r="AE45" s="11">
        <f t="shared" ca="1" si="8"/>
        <v>518400.00000000047</v>
      </c>
      <c r="AF45" s="11">
        <f t="shared" ca="1" si="8"/>
        <v>2592000.0000000005</v>
      </c>
      <c r="AG45" s="11">
        <f t="shared" ca="1" si="8"/>
        <v>3456000.0000000005</v>
      </c>
      <c r="AH45" s="11">
        <f t="shared" ca="1" si="8"/>
        <v>3456000</v>
      </c>
      <c r="AI45" s="11">
        <f t="shared" ca="1" si="8"/>
        <v>5580976.1135264309</v>
      </c>
      <c r="AJ45" s="11">
        <f t="shared" ca="1" si="8"/>
        <v>5184000</v>
      </c>
      <c r="AK45" s="11">
        <f t="shared" ca="1" si="8"/>
        <v>4589282.1571016489</v>
      </c>
      <c r="AL45" s="11">
        <f t="shared" ca="1" si="8"/>
        <v>4320000</v>
      </c>
      <c r="AM45" s="11">
        <f t="shared" ca="1" si="8"/>
        <v>3653741.7293719202</v>
      </c>
      <c r="AN45" s="11">
        <f t="shared" ca="1" si="8"/>
        <v>3456000</v>
      </c>
      <c r="AO45" s="11">
        <f t="shared" ca="1" si="8"/>
        <v>3456000</v>
      </c>
      <c r="AP45" s="11">
        <f t="shared" ca="1" si="8"/>
        <v>4320000</v>
      </c>
      <c r="AQ45" s="11">
        <f t="shared" ca="1" si="8"/>
        <v>4320000</v>
      </c>
      <c r="AR45" s="11">
        <f t="shared" ca="1" si="8"/>
        <v>5184000</v>
      </c>
      <c r="AS45" s="11">
        <f t="shared" ca="1" si="8"/>
        <v>6912000</v>
      </c>
      <c r="AT45" s="11">
        <f t="shared" ca="1" si="8"/>
        <v>6912000</v>
      </c>
      <c r="AU45" s="11">
        <f t="shared" ca="1" si="8"/>
        <v>8640000</v>
      </c>
      <c r="AV45" s="11">
        <f t="shared" ca="1" si="8"/>
        <v>10368000</v>
      </c>
      <c r="AW45" s="11">
        <f t="shared" ca="1" si="8"/>
        <v>9504000</v>
      </c>
      <c r="AX45" s="11">
        <f t="shared" ca="1" si="8"/>
        <v>10368000</v>
      </c>
      <c r="AY45" s="11">
        <f t="shared" ca="1" si="8"/>
        <v>11232000</v>
      </c>
      <c r="AZ45" s="11">
        <f t="shared" ca="1" si="8"/>
        <v>11232000</v>
      </c>
      <c r="BA45" s="11">
        <f t="shared" ca="1" si="8"/>
        <v>12960000</v>
      </c>
      <c r="BB45" s="11">
        <f t="shared" ca="1" si="8"/>
        <v>13824000</v>
      </c>
      <c r="BC45" s="11">
        <f t="shared" ca="1" si="8"/>
        <v>13824000</v>
      </c>
      <c r="BD45" s="11">
        <f t="shared" ca="1" si="8"/>
        <v>14688000</v>
      </c>
      <c r="BE45" s="11">
        <f t="shared" ca="1" si="8"/>
        <v>16416000</v>
      </c>
      <c r="BF45" s="11">
        <f t="shared" ca="1" si="8"/>
        <v>17280000</v>
      </c>
      <c r="BG45" s="11">
        <f t="shared" ca="1" si="8"/>
        <v>18144000</v>
      </c>
      <c r="BH45" s="11">
        <f t="shared" ca="1" si="8"/>
        <v>19872000</v>
      </c>
      <c r="BI45" s="11">
        <f t="shared" ca="1" si="8"/>
        <v>20736000</v>
      </c>
      <c r="BJ45" s="11">
        <f t="shared" ca="1" si="8"/>
        <v>22464000</v>
      </c>
      <c r="BK45" s="11">
        <f t="shared" ca="1" si="8"/>
        <v>23328000</v>
      </c>
      <c r="BL45" s="11">
        <f t="shared" ca="1" si="8"/>
        <v>24192000</v>
      </c>
      <c r="BM45" s="11">
        <f t="shared" ca="1" si="8"/>
        <v>26784000</v>
      </c>
      <c r="BN45" s="11">
        <f t="shared" ca="1" si="8"/>
        <v>27648000</v>
      </c>
      <c r="BO45" s="11">
        <f t="shared" ca="1" si="8"/>
        <v>29376000</v>
      </c>
      <c r="BP45" s="11">
        <f t="shared" ca="1" si="8"/>
        <v>31104000.000000004</v>
      </c>
      <c r="BQ45" s="11">
        <f t="shared" ca="1" si="8"/>
        <v>32832000</v>
      </c>
    </row>
    <row r="47" spans="1:69">
      <c r="B47" s="25" t="s">
        <v>111</v>
      </c>
    </row>
    <row r="48" spans="1:69" outlineLevel="1">
      <c r="A48" s="18"/>
      <c r="B48" s="18"/>
      <c r="C48" s="28"/>
      <c r="D48" s="27"/>
      <c r="E48" s="4" t="str">
        <f xml:space="preserve">  Expense!E$19</f>
        <v>Fixed operating expense POS</v>
      </c>
      <c r="F48" s="4">
        <f xml:space="preserve">  Expense!F$19</f>
        <v>0</v>
      </c>
      <c r="G48" s="4" t="str">
        <f xml:space="preserve">  Expense!G$19</f>
        <v>GBP</v>
      </c>
      <c r="H48" s="4">
        <f xml:space="preserve">  Expense!H$19</f>
        <v>3419071.4947073567</v>
      </c>
      <c r="I48" s="4">
        <f xml:space="preserve">  Expense!I$19</f>
        <v>0</v>
      </c>
      <c r="J48" s="4">
        <f xml:space="preserve">  Expense!J$19</f>
        <v>45000</v>
      </c>
      <c r="K48" s="4">
        <f xml:space="preserve">  Expense!K$19</f>
        <v>45000</v>
      </c>
      <c r="L48" s="4">
        <f xml:space="preserve">  Expense!L$19</f>
        <v>45000</v>
      </c>
      <c r="M48" s="4">
        <f xml:space="preserve">  Expense!M$19</f>
        <v>46094.142332421929</v>
      </c>
      <c r="N48" s="4">
        <f xml:space="preserve">  Expense!N$19</f>
        <v>46094.142332421929</v>
      </c>
      <c r="O48" s="4">
        <f xml:space="preserve">  Expense!O$19</f>
        <v>46094.142332421929</v>
      </c>
      <c r="P48" s="4">
        <f xml:space="preserve">  Expense!P$19</f>
        <v>47214.887941368259</v>
      </c>
      <c r="Q48" s="4">
        <f xml:space="preserve">  Expense!Q$19</f>
        <v>47214.887941368259</v>
      </c>
      <c r="R48" s="4">
        <f xml:space="preserve">  Expense!R$19</f>
        <v>47214.887941368259</v>
      </c>
      <c r="S48" s="4">
        <f xml:space="preserve">  Expense!S$19</f>
        <v>48362.883666195121</v>
      </c>
      <c r="T48" s="4">
        <f xml:space="preserve">  Expense!T$19</f>
        <v>48362.883666195121</v>
      </c>
      <c r="U48" s="4">
        <f xml:space="preserve">  Expense!U$19</f>
        <v>48362.883666195121</v>
      </c>
      <c r="V48" s="4">
        <f xml:space="preserve">  Expense!V$19</f>
        <v>49500.000000000007</v>
      </c>
      <c r="W48" s="4">
        <f xml:space="preserve">  Expense!W$19</f>
        <v>49500.000000000007</v>
      </c>
      <c r="X48" s="4">
        <f xml:space="preserve">  Expense!X$19</f>
        <v>49500.000000000007</v>
      </c>
      <c r="Y48" s="4">
        <f xml:space="preserve">  Expense!Y$19</f>
        <v>50708.501394855797</v>
      </c>
      <c r="Z48" s="4">
        <f xml:space="preserve">  Expense!Z$19</f>
        <v>50708.501394855797</v>
      </c>
      <c r="AA48" s="4">
        <f xml:space="preserve">  Expense!AA$19</f>
        <v>50708.501394855797</v>
      </c>
      <c r="AB48" s="4">
        <f xml:space="preserve">  Expense!AB$19</f>
        <v>51939.73483307648</v>
      </c>
      <c r="AC48" s="4">
        <f xml:space="preserve">  Expense!AC$19</f>
        <v>51939.73483307648</v>
      </c>
      <c r="AD48" s="4">
        <f xml:space="preserve">  Expense!AD$19</f>
        <v>51939.73483307648</v>
      </c>
      <c r="AE48" s="4">
        <f xml:space="preserve">  Expense!AE$19</f>
        <v>53204.926698313757</v>
      </c>
      <c r="AF48" s="4">
        <f xml:space="preserve">  Expense!AF$19</f>
        <v>53204.926698313757</v>
      </c>
      <c r="AG48" s="4">
        <f xml:space="preserve">  Expense!AG$19</f>
        <v>53204.926698313757</v>
      </c>
      <c r="AH48" s="4">
        <f xml:space="preserve">  Expense!AH$19</f>
        <v>54454.735278236491</v>
      </c>
      <c r="AI48" s="4">
        <f xml:space="preserve">  Expense!AI$19</f>
        <v>54454.735278236491</v>
      </c>
      <c r="AJ48" s="4">
        <f xml:space="preserve">  Expense!AJ$19</f>
        <v>54454.735278236491</v>
      </c>
      <c r="AK48" s="4">
        <f xml:space="preserve">  Expense!AK$19</f>
        <v>55777.540025685339</v>
      </c>
      <c r="AL48" s="4">
        <f xml:space="preserve">  Expense!AL$19</f>
        <v>55777.540025685339</v>
      </c>
      <c r="AM48" s="4">
        <f xml:space="preserve">  Expense!AM$19</f>
        <v>55777.540025685339</v>
      </c>
      <c r="AN48" s="4">
        <f xml:space="preserve">  Expense!AN$19</f>
        <v>57132.478110867487</v>
      </c>
      <c r="AO48" s="4">
        <f xml:space="preserve">  Expense!AO$19</f>
        <v>57132.478110867487</v>
      </c>
      <c r="AP48" s="4">
        <f xml:space="preserve">  Expense!AP$19</f>
        <v>57132.478110867487</v>
      </c>
      <c r="AQ48" s="4">
        <f xml:space="preserve">  Expense!AQ$19</f>
        <v>58523.837854155172</v>
      </c>
      <c r="AR48" s="4">
        <f xml:space="preserve">  Expense!AR$19</f>
        <v>58523.837854155172</v>
      </c>
      <c r="AS48" s="4">
        <f xml:space="preserve">  Expense!AS$19</f>
        <v>58523.837854155172</v>
      </c>
      <c r="AT48" s="4">
        <f xml:space="preserve">  Expense!AT$19</f>
        <v>59898.907453406857</v>
      </c>
      <c r="AU48" s="4">
        <f xml:space="preserve">  Expense!AU$19</f>
        <v>59898.907453406857</v>
      </c>
      <c r="AV48" s="4">
        <f xml:space="preserve">  Expense!AV$19</f>
        <v>59898.907453406857</v>
      </c>
      <c r="AW48" s="4">
        <f xml:space="preserve">  Expense!AW$19</f>
        <v>61354.297040832636</v>
      </c>
      <c r="AX48" s="4">
        <f xml:space="preserve">  Expense!AX$19</f>
        <v>61354.297040832636</v>
      </c>
      <c r="AY48" s="4">
        <f xml:space="preserve">  Expense!AY$19</f>
        <v>61354.297040832636</v>
      </c>
      <c r="AZ48" s="4">
        <f xml:space="preserve">  Expense!AZ$19</f>
        <v>62845.048856740366</v>
      </c>
      <c r="BA48" s="4">
        <f xml:space="preserve">  Expense!BA$19</f>
        <v>62845.048856740366</v>
      </c>
      <c r="BB48" s="4">
        <f xml:space="preserve">  Expense!BB$19</f>
        <v>62845.048856740366</v>
      </c>
      <c r="BC48" s="4">
        <f xml:space="preserve">  Expense!BC$19</f>
        <v>64375.177481826024</v>
      </c>
      <c r="BD48" s="4">
        <f xml:space="preserve">  Expense!BD$19</f>
        <v>64375.177481826024</v>
      </c>
      <c r="BE48" s="4">
        <f xml:space="preserve">  Expense!BE$19</f>
        <v>64375.177481826024</v>
      </c>
      <c r="BF48" s="4">
        <f xml:space="preserve">  Expense!BF$19</f>
        <v>65887.939007352761</v>
      </c>
      <c r="BG48" s="4">
        <f xml:space="preserve">  Expense!BG$19</f>
        <v>65887.939007352761</v>
      </c>
      <c r="BH48" s="4">
        <f xml:space="preserve">  Expense!BH$19</f>
        <v>65887.939007352761</v>
      </c>
      <c r="BI48" s="4">
        <f xml:space="preserve">  Expense!BI$19</f>
        <v>67489.068501538102</v>
      </c>
      <c r="BJ48" s="4">
        <f xml:space="preserve">  Expense!BJ$19</f>
        <v>67489.068501538102</v>
      </c>
      <c r="BK48" s="4">
        <f xml:space="preserve">  Expense!BK$19</f>
        <v>67489.068501538102</v>
      </c>
      <c r="BL48" s="4">
        <f xml:space="preserve">  Expense!BL$19</f>
        <v>69129.106720078344</v>
      </c>
      <c r="BM48" s="4">
        <f xml:space="preserve">  Expense!BM$19</f>
        <v>69129.106720078344</v>
      </c>
      <c r="BN48" s="4">
        <f xml:space="preserve">  Expense!BN$19</f>
        <v>69129.106720078344</v>
      </c>
      <c r="BO48" s="4">
        <f xml:space="preserve">  Expense!BO$19</f>
        <v>70797.285038834758</v>
      </c>
      <c r="BP48" s="4">
        <f xml:space="preserve">  Expense!BP$19</f>
        <v>70797.285038834758</v>
      </c>
      <c r="BQ48" s="4">
        <f xml:space="preserve">  Expense!BQ$19</f>
        <v>70797.285038834758</v>
      </c>
    </row>
    <row r="49" spans="1:69" outlineLevel="1">
      <c r="A49" s="18"/>
      <c r="B49" s="18"/>
      <c r="C49" s="28"/>
      <c r="D49" s="27"/>
      <c r="E49" s="4" t="str">
        <f xml:space="preserve">  Expense!E$26</f>
        <v>Variable Operating expense POS</v>
      </c>
      <c r="F49" s="4">
        <f xml:space="preserve">  Expense!F$26</f>
        <v>0</v>
      </c>
      <c r="G49" s="4" t="str">
        <f xml:space="preserve">  Expense!G$26</f>
        <v>GBP</v>
      </c>
      <c r="H49" s="4">
        <f ca="1" xml:space="preserve">  Expense!H$26</f>
        <v>23745860.732762821</v>
      </c>
      <c r="I49" s="4">
        <f xml:space="preserve">  Expense!I$26</f>
        <v>0</v>
      </c>
      <c r="J49" s="4">
        <f ca="1" xml:space="preserve">  Expense!J$26</f>
        <v>14400</v>
      </c>
      <c r="K49" s="4">
        <f ca="1" xml:space="preserve">  Expense!K$26</f>
        <v>14400</v>
      </c>
      <c r="L49" s="4">
        <f ca="1" xml:space="preserve">  Expense!L$26</f>
        <v>14400</v>
      </c>
      <c r="M49" s="4">
        <f ca="1" xml:space="preserve">  Expense!M$26</f>
        <v>14400</v>
      </c>
      <c r="N49" s="4">
        <f ca="1" xml:space="preserve">  Expense!N$26</f>
        <v>43200</v>
      </c>
      <c r="O49" s="4">
        <f ca="1" xml:space="preserve">  Expense!O$26</f>
        <v>43200</v>
      </c>
      <c r="P49" s="4">
        <f ca="1" xml:space="preserve">  Expense!P$26</f>
        <v>43200</v>
      </c>
      <c r="Q49" s="4">
        <f ca="1" xml:space="preserve">  Expense!Q$26</f>
        <v>72000</v>
      </c>
      <c r="R49" s="4">
        <f ca="1" xml:space="preserve">  Expense!R$26</f>
        <v>72000</v>
      </c>
      <c r="S49" s="4">
        <f ca="1" xml:space="preserve">  Expense!S$26</f>
        <v>72000</v>
      </c>
      <c r="T49" s="4">
        <f ca="1" xml:space="preserve">  Expense!T$26</f>
        <v>72000</v>
      </c>
      <c r="U49" s="4">
        <f ca="1" xml:space="preserve">  Expense!U$26</f>
        <v>72000</v>
      </c>
      <c r="V49" s="4">
        <f ca="1" xml:space="preserve">  Expense!V$26</f>
        <v>76281.342793869262</v>
      </c>
      <c r="W49" s="4">
        <f ca="1" xml:space="preserve">  Expense!W$26</f>
        <v>80817.267478274865</v>
      </c>
      <c r="X49" s="4">
        <f ca="1" xml:space="preserve">  Expense!X$26</f>
        <v>85622.912280195917</v>
      </c>
      <c r="Y49" s="4">
        <f ca="1" xml:space="preserve">  Expense!Y$26</f>
        <v>90714.315592430881</v>
      </c>
      <c r="Z49" s="4">
        <f ca="1" xml:space="preserve">  Expense!Z$26</f>
        <v>96108.469500242471</v>
      </c>
      <c r="AA49" s="4">
        <f ca="1" xml:space="preserve">  Expense!AA$26</f>
        <v>101823.37649086284</v>
      </c>
      <c r="AB49" s="4">
        <f ca="1" xml:space="preserve">  Expense!AB$26</f>
        <v>107878.10953512107</v>
      </c>
      <c r="AC49" s="4">
        <f ca="1" xml:space="preserve">  Expense!AC$26</f>
        <v>114292.87574171038</v>
      </c>
      <c r="AD49" s="4">
        <f ca="1" xml:space="preserve">  Expense!AD$26</f>
        <v>121089.08379653491</v>
      </c>
      <c r="AE49" s="4">
        <f ca="1" xml:space="preserve">  Expense!AE$26</f>
        <v>128289.41541220888</v>
      </c>
      <c r="AF49" s="4">
        <f ca="1" xml:space="preserve">  Expense!AF$26</f>
        <v>135917.90102616389</v>
      </c>
      <c r="AG49" s="4">
        <f ca="1" xml:space="preserve">  Expense!AG$26</f>
        <v>144000.00000000006</v>
      </c>
      <c r="AH49" s="4">
        <f ca="1" xml:space="preserve">  Expense!AH$26</f>
        <v>165522.68558773852</v>
      </c>
      <c r="AI49" s="4">
        <f ca="1" xml:space="preserve">  Expense!AI$26</f>
        <v>174594.53495654973</v>
      </c>
      <c r="AJ49" s="4">
        <f ca="1" xml:space="preserve">  Expense!AJ$26</f>
        <v>184205.82456039186</v>
      </c>
      <c r="AK49" s="4">
        <f ca="1" xml:space="preserve">  Expense!AK$26</f>
        <v>194388.63118486182</v>
      </c>
      <c r="AL49" s="4">
        <f ca="1" xml:space="preserve">  Expense!AL$26</f>
        <v>231096.93900048506</v>
      </c>
      <c r="AM49" s="4">
        <f ca="1" xml:space="preserve">  Expense!AM$26</f>
        <v>242526.75298172582</v>
      </c>
      <c r="AN49" s="4">
        <f ca="1" xml:space="preserve">  Expense!AN$26</f>
        <v>254636.21907024231</v>
      </c>
      <c r="AO49" s="4">
        <f ca="1" xml:space="preserve">  Expense!AO$26</f>
        <v>293385.75148342084</v>
      </c>
      <c r="AP49" s="4">
        <f ca="1" xml:space="preserve">  Expense!AP$26</f>
        <v>306978.16759306996</v>
      </c>
      <c r="AQ49" s="4">
        <f ca="1" xml:space="preserve">  Expense!AQ$26</f>
        <v>321378.83082441788</v>
      </c>
      <c r="AR49" s="4">
        <f ca="1" xml:space="preserve">  Expense!AR$26</f>
        <v>336635.8020523279</v>
      </c>
      <c r="AS49" s="4">
        <f ca="1" xml:space="preserve">  Expense!AS$26</f>
        <v>352800.00000000017</v>
      </c>
      <c r="AT49" s="4">
        <f ca="1" xml:space="preserve">  Expense!AT$26</f>
        <v>373778.57968995959</v>
      </c>
      <c r="AU49" s="4">
        <f ca="1" xml:space="preserve">  Expense!AU$26</f>
        <v>396004.61064354703</v>
      </c>
      <c r="AV49" s="4">
        <f ca="1" xml:space="preserve">  Expense!AV$26</f>
        <v>419552.27017296036</v>
      </c>
      <c r="AW49" s="4">
        <f ca="1" xml:space="preserve">  Expense!AW$26</f>
        <v>444500.14640291157</v>
      </c>
      <c r="AX49" s="4">
        <f ca="1" xml:space="preserve">  Expense!AX$26</f>
        <v>470931.5005511886</v>
      </c>
      <c r="AY49" s="4">
        <f ca="1" xml:space="preserve">  Expense!AY$26</f>
        <v>498934.54480522836</v>
      </c>
      <c r="AZ49" s="4">
        <f ca="1" xml:space="preserve">  Expense!AZ$26</f>
        <v>528602.73672209377</v>
      </c>
      <c r="BA49" s="4">
        <f ca="1" xml:space="preserve">  Expense!BA$26</f>
        <v>560035.09113438136</v>
      </c>
      <c r="BB49" s="4">
        <f ca="1" xml:space="preserve">  Expense!BB$26</f>
        <v>593336.5106030216</v>
      </c>
      <c r="BC49" s="4">
        <f ca="1" xml:space="preserve">  Expense!BC$26</f>
        <v>628618.13551982399</v>
      </c>
      <c r="BD49" s="4">
        <f ca="1" xml:space="preserve">  Expense!BD$26</f>
        <v>665997.71502820356</v>
      </c>
      <c r="BE49" s="4">
        <f ca="1" xml:space="preserve">  Expense!BE$26</f>
        <v>705600.00000000081</v>
      </c>
      <c r="BF49" s="4">
        <f ca="1" xml:space="preserve">  Expense!BF$26</f>
        <v>747557.15937991964</v>
      </c>
      <c r="BG49" s="4">
        <f ca="1" xml:space="preserve">  Expense!BG$26</f>
        <v>792009.22128709464</v>
      </c>
      <c r="BH49" s="4">
        <f ca="1" xml:space="preserve">  Expense!BH$26</f>
        <v>839104.54034592106</v>
      </c>
      <c r="BI49" s="4">
        <f ca="1" xml:space="preserve">  Expense!BI$26</f>
        <v>889000.29280582373</v>
      </c>
      <c r="BJ49" s="4">
        <f ca="1" xml:space="preserve">  Expense!BJ$26</f>
        <v>941863.00110237754</v>
      </c>
      <c r="BK49" s="4">
        <f ca="1" xml:space="preserve">  Expense!BK$26</f>
        <v>997869.08961045707</v>
      </c>
      <c r="BL49" s="4">
        <f ca="1" xml:space="preserve">  Expense!BL$26</f>
        <v>1057205.473444188</v>
      </c>
      <c r="BM49" s="4">
        <f ca="1" xml:space="preserve">  Expense!BM$26</f>
        <v>1120070.1822687634</v>
      </c>
      <c r="BN49" s="4">
        <f ca="1" xml:space="preserve">  Expense!BN$26</f>
        <v>1186673.0212060437</v>
      </c>
      <c r="BO49" s="4">
        <f ca="1" xml:space="preserve">  Expense!BO$26</f>
        <v>1257236.2710396487</v>
      </c>
      <c r="BP49" s="4">
        <f ca="1" xml:space="preserve">  Expense!BP$26</f>
        <v>1331995.430056408</v>
      </c>
      <c r="BQ49" s="4">
        <f ca="1" xml:space="preserve">  Expense!BQ$26</f>
        <v>1411200.0000000023</v>
      </c>
    </row>
    <row r="50" spans="1:69" outlineLevel="1">
      <c r="A50" s="18"/>
      <c r="B50" s="18"/>
      <c r="C50" s="28"/>
      <c r="D50" s="27"/>
      <c r="E50" s="4" t="str">
        <f xml:space="preserve">  Expense!E$13</f>
        <v>VAT on operating expense</v>
      </c>
      <c r="F50" s="4">
        <f xml:space="preserve">  Expense!F$13</f>
        <v>0</v>
      </c>
      <c r="G50" s="4" t="str">
        <f xml:space="preserve">  Expense!G$13</f>
        <v>GBP</v>
      </c>
      <c r="H50" s="4">
        <f ca="1" xml:space="preserve">  Expense!H$13</f>
        <v>2716493.2227470176</v>
      </c>
      <c r="I50" s="4">
        <f xml:space="preserve">  Expense!I$13</f>
        <v>0</v>
      </c>
      <c r="J50" s="4">
        <f ca="1" xml:space="preserve">  Expense!J$13</f>
        <v>5940</v>
      </c>
      <c r="K50" s="4">
        <f ca="1" xml:space="preserve">  Expense!K$13</f>
        <v>5940</v>
      </c>
      <c r="L50" s="4">
        <f ca="1" xml:space="preserve">  Expense!L$13</f>
        <v>5940</v>
      </c>
      <c r="M50" s="4">
        <f ca="1" xml:space="preserve">  Expense!M$13</f>
        <v>6049.4142332421934</v>
      </c>
      <c r="N50" s="4">
        <f ca="1" xml:space="preserve">  Expense!N$13</f>
        <v>8929.4142332421943</v>
      </c>
      <c r="O50" s="4">
        <f ca="1" xml:space="preserve">  Expense!O$13</f>
        <v>8929.4142332421943</v>
      </c>
      <c r="P50" s="4">
        <f ca="1" xml:space="preserve">  Expense!P$13</f>
        <v>9041.488794136827</v>
      </c>
      <c r="Q50" s="4">
        <f ca="1" xml:space="preserve">  Expense!Q$13</f>
        <v>11921.488794136827</v>
      </c>
      <c r="R50" s="4">
        <f ca="1" xml:space="preserve">  Expense!R$13</f>
        <v>11921.488794136827</v>
      </c>
      <c r="S50" s="4">
        <f ca="1" xml:space="preserve">  Expense!S$13</f>
        <v>12036.288366619512</v>
      </c>
      <c r="T50" s="4">
        <f ca="1" xml:space="preserve">  Expense!T$13</f>
        <v>12036.288366619512</v>
      </c>
      <c r="U50" s="4">
        <f ca="1" xml:space="preserve">  Expense!U$13</f>
        <v>12036.288366619512</v>
      </c>
      <c r="V50" s="4">
        <f ca="1" xml:space="preserve">  Expense!V$13</f>
        <v>12578.134279386926</v>
      </c>
      <c r="W50" s="4">
        <f ca="1" xml:space="preserve">  Expense!W$13</f>
        <v>13031.726747827488</v>
      </c>
      <c r="X50" s="4">
        <f ca="1" xml:space="preserve">  Expense!X$13</f>
        <v>13512.291228019592</v>
      </c>
      <c r="Y50" s="4">
        <f ca="1" xml:space="preserve">  Expense!Y$13</f>
        <v>14142.281698728668</v>
      </c>
      <c r="Z50" s="4">
        <f ca="1" xml:space="preserve">  Expense!Z$13</f>
        <v>14681.697089509827</v>
      </c>
      <c r="AA50" s="4">
        <f ca="1" xml:space="preserve">  Expense!AA$13</f>
        <v>15253.187788571864</v>
      </c>
      <c r="AB50" s="4">
        <f ca="1" xml:space="preserve">  Expense!AB$13</f>
        <v>15981.784436819755</v>
      </c>
      <c r="AC50" s="4">
        <f ca="1" xml:space="preserve">  Expense!AC$13</f>
        <v>16623.261057478685</v>
      </c>
      <c r="AD50" s="4">
        <f ca="1" xml:space="preserve">  Expense!AD$13</f>
        <v>17302.881862961141</v>
      </c>
      <c r="AE50" s="4">
        <f ca="1" xml:space="preserve">  Expense!AE$13</f>
        <v>18149.434211052267</v>
      </c>
      <c r="AF50" s="4">
        <f ca="1" xml:space="preserve">  Expense!AF$13</f>
        <v>18912.282772447765</v>
      </c>
      <c r="AG50" s="4">
        <f ca="1" xml:space="preserve">  Expense!AG$13</f>
        <v>19720.492669831383</v>
      </c>
      <c r="AH50" s="4">
        <f ca="1" xml:space="preserve">  Expense!AH$13</f>
        <v>21997.742086597504</v>
      </c>
      <c r="AI50" s="4">
        <f ca="1" xml:space="preserve">  Expense!AI$13</f>
        <v>22904.927023478624</v>
      </c>
      <c r="AJ50" s="4">
        <f ca="1" xml:space="preserve">  Expense!AJ$13</f>
        <v>23866.055983862836</v>
      </c>
      <c r="AK50" s="4">
        <f ca="1" xml:space="preserve">  Expense!AK$13</f>
        <v>25016.617121054718</v>
      </c>
      <c r="AL50" s="4">
        <f ca="1" xml:space="preserve">  Expense!AL$13</f>
        <v>28687.447902617041</v>
      </c>
      <c r="AM50" s="4">
        <f ca="1" xml:space="preserve">  Expense!AM$13</f>
        <v>29830.429300741118</v>
      </c>
      <c r="AN50" s="4">
        <f ca="1" xml:space="preserve">  Expense!AN$13</f>
        <v>31176.869718110982</v>
      </c>
      <c r="AO50" s="4">
        <f ca="1" xml:space="preserve">  Expense!AO$13</f>
        <v>35051.822959428835</v>
      </c>
      <c r="AP50" s="4">
        <f ca="1" xml:space="preserve">  Expense!AP$13</f>
        <v>36411.064570393748</v>
      </c>
      <c r="AQ50" s="4">
        <f ca="1" xml:space="preserve">  Expense!AQ$13</f>
        <v>37990.266867857303</v>
      </c>
      <c r="AR50" s="4">
        <f ca="1" xml:space="preserve">  Expense!AR$13</f>
        <v>39515.963990648306</v>
      </c>
      <c r="AS50" s="4">
        <f ca="1" xml:space="preserve">  Expense!AS$13</f>
        <v>41132.383785415535</v>
      </c>
      <c r="AT50" s="4">
        <f ca="1" xml:space="preserve">  Expense!AT$13</f>
        <v>43367.748714336645</v>
      </c>
      <c r="AU50" s="4">
        <f ca="1" xml:space="preserve">  Expense!AU$13</f>
        <v>45590.351809695392</v>
      </c>
      <c r="AV50" s="4">
        <f ca="1" xml:space="preserve">  Expense!AV$13</f>
        <v>47945.117762636721</v>
      </c>
      <c r="AW50" s="4">
        <f ca="1" xml:space="preserve">  Expense!AW$13</f>
        <v>50585.444344374424</v>
      </c>
      <c r="AX50" s="4">
        <f ca="1" xml:space="preserve">  Expense!AX$13</f>
        <v>53228.579759202134</v>
      </c>
      <c r="AY50" s="4">
        <f ca="1" xml:space="preserve">  Expense!AY$13</f>
        <v>56028.884184606097</v>
      </c>
      <c r="AZ50" s="4">
        <f ca="1" xml:space="preserve">  Expense!AZ$13</f>
        <v>59144.778557883415</v>
      </c>
      <c r="BA50" s="4">
        <f ca="1" xml:space="preserve">  Expense!BA$13</f>
        <v>62288.013999112176</v>
      </c>
      <c r="BB50" s="4">
        <f ca="1" xml:space="preserve">  Expense!BB$13</f>
        <v>65618.155945976192</v>
      </c>
      <c r="BC50" s="4">
        <f ca="1" xml:space="preserve">  Expense!BC$13</f>
        <v>69299.331300165009</v>
      </c>
      <c r="BD50" s="4">
        <f ca="1" xml:space="preserve">  Expense!BD$13</f>
        <v>73037.289251002963</v>
      </c>
      <c r="BE50" s="4">
        <f ca="1" xml:space="preserve">  Expense!BE$13</f>
        <v>76997.517748182683</v>
      </c>
      <c r="BF50" s="4">
        <f ca="1" xml:space="preserve">  Expense!BF$13</f>
        <v>81344.509838727245</v>
      </c>
      <c r="BG50" s="4">
        <f ca="1" xml:space="preserve">  Expense!BG$13</f>
        <v>85789.716029444753</v>
      </c>
      <c r="BH50" s="4">
        <f ca="1" xml:space="preserve">  Expense!BH$13</f>
        <v>90499.247935327396</v>
      </c>
      <c r="BI50" s="4">
        <f ca="1" xml:space="preserve">  Expense!BI$13</f>
        <v>95648.936130736198</v>
      </c>
      <c r="BJ50" s="4">
        <f ca="1" xml:space="preserve">  Expense!BJ$13</f>
        <v>100935.20696039157</v>
      </c>
      <c r="BK50" s="4">
        <f ca="1" xml:space="preserve">  Expense!BK$13</f>
        <v>106535.81581119951</v>
      </c>
      <c r="BL50" s="4">
        <f ca="1" xml:space="preserve">  Expense!BL$13</f>
        <v>112633.45801642664</v>
      </c>
      <c r="BM50" s="4">
        <f ca="1" xml:space="preserve">  Expense!BM$13</f>
        <v>118919.92889888417</v>
      </c>
      <c r="BN50" s="4">
        <f ca="1" xml:space="preserve">  Expense!BN$13</f>
        <v>125580.2127926122</v>
      </c>
      <c r="BO50" s="4">
        <f ca="1" xml:space="preserve">  Expense!BO$13</f>
        <v>132803.35560784835</v>
      </c>
      <c r="BP50" s="4">
        <f ca="1" xml:space="preserve">  Expense!BP$13</f>
        <v>140279.27150952429</v>
      </c>
      <c r="BQ50" s="4">
        <f ca="1" xml:space="preserve">  Expense!BQ$13</f>
        <v>148199.7285038837</v>
      </c>
    </row>
    <row r="51" spans="1:69" outlineLevel="1">
      <c r="E51" s="47" t="s">
        <v>154</v>
      </c>
      <c r="G51" s="47" t="s">
        <v>258</v>
      </c>
      <c r="H51" s="2">
        <f t="shared" ref="H51:H52" ca="1" si="9" xml:space="preserve"> SUM( J51:BQ51 )</f>
        <v>29881425.450217187</v>
      </c>
      <c r="J51" s="2">
        <f t="shared" ref="J51:BQ51" ca="1" si="10" xml:space="preserve">  J48 + J49 + J50</f>
        <v>65340</v>
      </c>
      <c r="K51" s="2">
        <f t="shared" ca="1" si="10"/>
        <v>65340</v>
      </c>
      <c r="L51" s="2">
        <f t="shared" ca="1" si="10"/>
        <v>65340</v>
      </c>
      <c r="M51" s="2">
        <f t="shared" ca="1" si="10"/>
        <v>66543.556565664127</v>
      </c>
      <c r="N51" s="2">
        <f t="shared" ca="1" si="10"/>
        <v>98223.556565664127</v>
      </c>
      <c r="O51" s="2">
        <f t="shared" ca="1" si="10"/>
        <v>98223.556565664127</v>
      </c>
      <c r="P51" s="2">
        <f t="shared" ca="1" si="10"/>
        <v>99456.37673550508</v>
      </c>
      <c r="Q51" s="2">
        <f t="shared" ca="1" si="10"/>
        <v>131136.37673550509</v>
      </c>
      <c r="R51" s="2">
        <f t="shared" ca="1" si="10"/>
        <v>131136.37673550509</v>
      </c>
      <c r="S51" s="2">
        <f t="shared" ca="1" si="10"/>
        <v>132399.17203281465</v>
      </c>
      <c r="T51" s="2">
        <f t="shared" ca="1" si="10"/>
        <v>132399.17203281465</v>
      </c>
      <c r="U51" s="2">
        <f t="shared" ca="1" si="10"/>
        <v>132399.17203281465</v>
      </c>
      <c r="V51" s="2">
        <f t="shared" ca="1" si="10"/>
        <v>138359.47707325619</v>
      </c>
      <c r="W51" s="2">
        <f t="shared" ca="1" si="10"/>
        <v>143348.99422610237</v>
      </c>
      <c r="X51" s="2">
        <f t="shared" ca="1" si="10"/>
        <v>148635.20350821552</v>
      </c>
      <c r="Y51" s="2">
        <f t="shared" ca="1" si="10"/>
        <v>155565.09868601535</v>
      </c>
      <c r="Z51" s="2">
        <f t="shared" ca="1" si="10"/>
        <v>161498.6679846081</v>
      </c>
      <c r="AA51" s="2">
        <f t="shared" ca="1" si="10"/>
        <v>167785.0656742905</v>
      </c>
      <c r="AB51" s="2">
        <f t="shared" ca="1" si="10"/>
        <v>175799.6288050173</v>
      </c>
      <c r="AC51" s="2">
        <f t="shared" ca="1" si="10"/>
        <v>182855.87163226554</v>
      </c>
      <c r="AD51" s="2">
        <f t="shared" ca="1" si="10"/>
        <v>190331.70049257253</v>
      </c>
      <c r="AE51" s="2">
        <f t="shared" ca="1" si="10"/>
        <v>199643.7763215749</v>
      </c>
      <c r="AF51" s="2">
        <f t="shared" ca="1" si="10"/>
        <v>208035.11049692542</v>
      </c>
      <c r="AG51" s="2">
        <f t="shared" ca="1" si="10"/>
        <v>216925.4193681452</v>
      </c>
      <c r="AH51" s="2">
        <f t="shared" ca="1" si="10"/>
        <v>241975.16295257254</v>
      </c>
      <c r="AI51" s="2">
        <f t="shared" ca="1" si="10"/>
        <v>251954.19725826482</v>
      </c>
      <c r="AJ51" s="2">
        <f t="shared" ca="1" si="10"/>
        <v>262526.61582249118</v>
      </c>
      <c r="AK51" s="2">
        <f t="shared" ca="1" si="10"/>
        <v>275182.78833160189</v>
      </c>
      <c r="AL51" s="2">
        <f t="shared" ca="1" si="10"/>
        <v>315561.92692878743</v>
      </c>
      <c r="AM51" s="2">
        <f t="shared" ca="1" si="10"/>
        <v>328134.7223081523</v>
      </c>
      <c r="AN51" s="2">
        <f t="shared" ca="1" si="10"/>
        <v>342945.56689922081</v>
      </c>
      <c r="AO51" s="2">
        <f t="shared" ca="1" si="10"/>
        <v>385570.05255371716</v>
      </c>
      <c r="AP51" s="2">
        <f t="shared" ca="1" si="10"/>
        <v>400521.71027433121</v>
      </c>
      <c r="AQ51" s="2">
        <f t="shared" ca="1" si="10"/>
        <v>417892.93554643035</v>
      </c>
      <c r="AR51" s="2">
        <f t="shared" ca="1" si="10"/>
        <v>434675.6038971314</v>
      </c>
      <c r="AS51" s="2">
        <f t="shared" ca="1" si="10"/>
        <v>452456.2216395709</v>
      </c>
      <c r="AT51" s="2">
        <f t="shared" ca="1" si="10"/>
        <v>477045.23585770308</v>
      </c>
      <c r="AU51" s="2">
        <f t="shared" ca="1" si="10"/>
        <v>501493.86990664923</v>
      </c>
      <c r="AV51" s="2">
        <f t="shared" ca="1" si="10"/>
        <v>527396.29538900394</v>
      </c>
      <c r="AW51" s="2">
        <f t="shared" ca="1" si="10"/>
        <v>556439.88778811868</v>
      </c>
      <c r="AX51" s="2">
        <f t="shared" ca="1" si="10"/>
        <v>585514.37735122337</v>
      </c>
      <c r="AY51" s="2">
        <f t="shared" ca="1" si="10"/>
        <v>616317.72603066708</v>
      </c>
      <c r="AZ51" s="2">
        <f t="shared" ca="1" si="10"/>
        <v>650592.56413671758</v>
      </c>
      <c r="BA51" s="2">
        <f t="shared" ca="1" si="10"/>
        <v>685168.1539902339</v>
      </c>
      <c r="BB51" s="2">
        <f t="shared" ca="1" si="10"/>
        <v>721799.7154057381</v>
      </c>
      <c r="BC51" s="2">
        <f t="shared" ca="1" si="10"/>
        <v>762292.64430181507</v>
      </c>
      <c r="BD51" s="2">
        <f t="shared" ca="1" si="10"/>
        <v>803410.18176103255</v>
      </c>
      <c r="BE51" s="2">
        <f t="shared" ca="1" si="10"/>
        <v>846972.6952300095</v>
      </c>
      <c r="BF51" s="2">
        <f t="shared" ca="1" si="10"/>
        <v>894789.60822599963</v>
      </c>
      <c r="BG51" s="2">
        <f t="shared" ca="1" si="10"/>
        <v>943686.87632389215</v>
      </c>
      <c r="BH51" s="2">
        <f t="shared" ca="1" si="10"/>
        <v>995491.72728860122</v>
      </c>
      <c r="BI51" s="2">
        <f t="shared" ca="1" si="10"/>
        <v>1052138.2974380981</v>
      </c>
      <c r="BJ51" s="2">
        <f t="shared" ca="1" si="10"/>
        <v>1110287.2765643073</v>
      </c>
      <c r="BK51" s="2">
        <f t="shared" ca="1" si="10"/>
        <v>1171893.9739231947</v>
      </c>
      <c r="BL51" s="2">
        <f t="shared" ca="1" si="10"/>
        <v>1238968.0381806928</v>
      </c>
      <c r="BM51" s="2">
        <f t="shared" ca="1" si="10"/>
        <v>1308119.2178877259</v>
      </c>
      <c r="BN51" s="2">
        <f t="shared" ca="1" si="10"/>
        <v>1381382.3407187341</v>
      </c>
      <c r="BO51" s="2">
        <f t="shared" ca="1" si="10"/>
        <v>1460836.9116863317</v>
      </c>
      <c r="BP51" s="2">
        <f t="shared" ca="1" si="10"/>
        <v>1543071.9866047669</v>
      </c>
      <c r="BQ51" s="2">
        <f t="shared" ca="1" si="10"/>
        <v>1630197.0135427206</v>
      </c>
    </row>
    <row r="52" spans="1:69" outlineLevel="1">
      <c r="A52" s="34"/>
      <c r="B52" s="34"/>
      <c r="C52" s="64"/>
      <c r="D52" s="65"/>
      <c r="E52" s="21" t="str">
        <f xml:space="preserve"> LEFT($E$51, LEN($E$51) - 3 )</f>
        <v xml:space="preserve">Cash out on Operating Expense </v>
      </c>
      <c r="F52" s="21"/>
      <c r="G52" s="21" t="str">
        <f xml:space="preserve"> G$51</f>
        <v>GBP</v>
      </c>
      <c r="H52" s="3">
        <f t="shared" ca="1" si="9"/>
        <v>-29881425.450217187</v>
      </c>
      <c r="I52" s="21"/>
      <c r="J52" s="3">
        <f t="shared" ref="J52:BQ52" ca="1" si="11" xml:space="preserve"> -1 * J51</f>
        <v>-65340</v>
      </c>
      <c r="K52" s="3">
        <f t="shared" ca="1" si="11"/>
        <v>-65340</v>
      </c>
      <c r="L52" s="3">
        <f t="shared" ca="1" si="11"/>
        <v>-65340</v>
      </c>
      <c r="M52" s="3">
        <f t="shared" ca="1" si="11"/>
        <v>-66543.556565664127</v>
      </c>
      <c r="N52" s="3">
        <f t="shared" ca="1" si="11"/>
        <v>-98223.556565664127</v>
      </c>
      <c r="O52" s="3">
        <f t="shared" ca="1" si="11"/>
        <v>-98223.556565664127</v>
      </c>
      <c r="P52" s="3">
        <f t="shared" ca="1" si="11"/>
        <v>-99456.37673550508</v>
      </c>
      <c r="Q52" s="3">
        <f t="shared" ca="1" si="11"/>
        <v>-131136.37673550509</v>
      </c>
      <c r="R52" s="3">
        <f t="shared" ca="1" si="11"/>
        <v>-131136.37673550509</v>
      </c>
      <c r="S52" s="3">
        <f t="shared" ca="1" si="11"/>
        <v>-132399.17203281465</v>
      </c>
      <c r="T52" s="3">
        <f t="shared" ca="1" si="11"/>
        <v>-132399.17203281465</v>
      </c>
      <c r="U52" s="3">
        <f t="shared" ca="1" si="11"/>
        <v>-132399.17203281465</v>
      </c>
      <c r="V52" s="3">
        <f t="shared" ca="1" si="11"/>
        <v>-138359.47707325619</v>
      </c>
      <c r="W52" s="3">
        <f t="shared" ca="1" si="11"/>
        <v>-143348.99422610237</v>
      </c>
      <c r="X52" s="3">
        <f t="shared" ca="1" si="11"/>
        <v>-148635.20350821552</v>
      </c>
      <c r="Y52" s="3">
        <f t="shared" ca="1" si="11"/>
        <v>-155565.09868601535</v>
      </c>
      <c r="Z52" s="3">
        <f t="shared" ca="1" si="11"/>
        <v>-161498.6679846081</v>
      </c>
      <c r="AA52" s="3">
        <f t="shared" ca="1" si="11"/>
        <v>-167785.0656742905</v>
      </c>
      <c r="AB52" s="3">
        <f t="shared" ca="1" si="11"/>
        <v>-175799.6288050173</v>
      </c>
      <c r="AC52" s="3">
        <f t="shared" ca="1" si="11"/>
        <v>-182855.87163226554</v>
      </c>
      <c r="AD52" s="3">
        <f t="shared" ca="1" si="11"/>
        <v>-190331.70049257253</v>
      </c>
      <c r="AE52" s="3">
        <f t="shared" ca="1" si="11"/>
        <v>-199643.7763215749</v>
      </c>
      <c r="AF52" s="3">
        <f t="shared" ca="1" si="11"/>
        <v>-208035.11049692542</v>
      </c>
      <c r="AG52" s="3">
        <f t="shared" ca="1" si="11"/>
        <v>-216925.4193681452</v>
      </c>
      <c r="AH52" s="3">
        <f t="shared" ca="1" si="11"/>
        <v>-241975.16295257254</v>
      </c>
      <c r="AI52" s="3">
        <f t="shared" ca="1" si="11"/>
        <v>-251954.19725826482</v>
      </c>
      <c r="AJ52" s="3">
        <f t="shared" ca="1" si="11"/>
        <v>-262526.61582249118</v>
      </c>
      <c r="AK52" s="3">
        <f t="shared" ca="1" si="11"/>
        <v>-275182.78833160189</v>
      </c>
      <c r="AL52" s="3">
        <f t="shared" ca="1" si="11"/>
        <v>-315561.92692878743</v>
      </c>
      <c r="AM52" s="3">
        <f t="shared" ca="1" si="11"/>
        <v>-328134.7223081523</v>
      </c>
      <c r="AN52" s="3">
        <f t="shared" ca="1" si="11"/>
        <v>-342945.56689922081</v>
      </c>
      <c r="AO52" s="3">
        <f t="shared" ca="1" si="11"/>
        <v>-385570.05255371716</v>
      </c>
      <c r="AP52" s="3">
        <f t="shared" ca="1" si="11"/>
        <v>-400521.71027433121</v>
      </c>
      <c r="AQ52" s="3">
        <f t="shared" ca="1" si="11"/>
        <v>-417892.93554643035</v>
      </c>
      <c r="AR52" s="3">
        <f t="shared" ca="1" si="11"/>
        <v>-434675.6038971314</v>
      </c>
      <c r="AS52" s="3">
        <f t="shared" ca="1" si="11"/>
        <v>-452456.2216395709</v>
      </c>
      <c r="AT52" s="3">
        <f t="shared" ca="1" si="11"/>
        <v>-477045.23585770308</v>
      </c>
      <c r="AU52" s="3">
        <f t="shared" ca="1" si="11"/>
        <v>-501493.86990664923</v>
      </c>
      <c r="AV52" s="3">
        <f t="shared" ca="1" si="11"/>
        <v>-527396.29538900394</v>
      </c>
      <c r="AW52" s="3">
        <f t="shared" ca="1" si="11"/>
        <v>-556439.88778811868</v>
      </c>
      <c r="AX52" s="3">
        <f t="shared" ca="1" si="11"/>
        <v>-585514.37735122337</v>
      </c>
      <c r="AY52" s="3">
        <f t="shared" ca="1" si="11"/>
        <v>-616317.72603066708</v>
      </c>
      <c r="AZ52" s="3">
        <f t="shared" ca="1" si="11"/>
        <v>-650592.56413671758</v>
      </c>
      <c r="BA52" s="3">
        <f t="shared" ca="1" si="11"/>
        <v>-685168.1539902339</v>
      </c>
      <c r="BB52" s="3">
        <f t="shared" ca="1" si="11"/>
        <v>-721799.7154057381</v>
      </c>
      <c r="BC52" s="3">
        <f t="shared" ca="1" si="11"/>
        <v>-762292.64430181507</v>
      </c>
      <c r="BD52" s="3">
        <f t="shared" ca="1" si="11"/>
        <v>-803410.18176103255</v>
      </c>
      <c r="BE52" s="3">
        <f t="shared" ca="1" si="11"/>
        <v>-846972.6952300095</v>
      </c>
      <c r="BF52" s="3">
        <f t="shared" ca="1" si="11"/>
        <v>-894789.60822599963</v>
      </c>
      <c r="BG52" s="3">
        <f t="shared" ca="1" si="11"/>
        <v>-943686.87632389215</v>
      </c>
      <c r="BH52" s="3">
        <f t="shared" ca="1" si="11"/>
        <v>-995491.72728860122</v>
      </c>
      <c r="BI52" s="3">
        <f t="shared" ca="1" si="11"/>
        <v>-1052138.2974380981</v>
      </c>
      <c r="BJ52" s="3">
        <f t="shared" ca="1" si="11"/>
        <v>-1110287.2765643073</v>
      </c>
      <c r="BK52" s="3">
        <f t="shared" ca="1" si="11"/>
        <v>-1171893.9739231947</v>
      </c>
      <c r="BL52" s="3">
        <f t="shared" ca="1" si="11"/>
        <v>-1238968.0381806928</v>
      </c>
      <c r="BM52" s="3">
        <f t="shared" ca="1" si="11"/>
        <v>-1308119.2178877259</v>
      </c>
      <c r="BN52" s="3">
        <f t="shared" ca="1" si="11"/>
        <v>-1381382.3407187341</v>
      </c>
      <c r="BO52" s="3">
        <f t="shared" ca="1" si="11"/>
        <v>-1460836.9116863317</v>
      </c>
      <c r="BP52" s="3">
        <f t="shared" ca="1" si="11"/>
        <v>-1543071.9866047669</v>
      </c>
      <c r="BQ52" s="3">
        <f t="shared" ca="1" si="11"/>
        <v>-1630197.0135427206</v>
      </c>
    </row>
    <row r="55" spans="1:69">
      <c r="B55" s="25" t="s">
        <v>271</v>
      </c>
    </row>
  </sheetData>
  <conditionalFormatting sqref="F3">
    <cfRule type="cellIs" dxfId="257" priority="13" stopIfTrue="1" operator="notEqual">
      <formula>0</formula>
    </cfRule>
    <cfRule type="cellIs" dxfId="256" priority="14" stopIfTrue="1" operator="equal">
      <formula>""</formula>
    </cfRule>
  </conditionalFormatting>
  <conditionalFormatting sqref="J3:BQ3">
    <cfRule type="cellIs" dxfId="255" priority="11" stopIfTrue="1" operator="equal">
      <formula>"Construction"</formula>
    </cfRule>
    <cfRule type="cellIs" dxfId="254" priority="12" stopIfTrue="1" operator="equal">
      <formula>"Operations"</formula>
    </cfRule>
  </conditionalFormatting>
  <conditionalFormatting sqref="J3:BQ3">
    <cfRule type="cellIs" dxfId="253" priority="10" operator="equal">
      <formula>"Fin Close"</formula>
    </cfRule>
  </conditionalFormatting>
  <conditionalFormatting sqref="J3:BQ3">
    <cfRule type="cellIs" dxfId="252" priority="8" operator="equal">
      <formula>"PPA ext."</formula>
    </cfRule>
    <cfRule type="cellIs" dxfId="251" priority="9" operator="equal">
      <formula>"Delay"</formula>
    </cfRule>
  </conditionalFormatting>
  <conditionalFormatting sqref="F2">
    <cfRule type="cellIs" dxfId="250" priority="1" stopIfTrue="1" operator="notEqual">
      <formula>0</formula>
    </cfRule>
    <cfRule type="cellIs" dxfId="249"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777343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777343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777343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Invoice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304</v>
      </c>
    </row>
    <row r="9" spans="1:69" s="82" customFormat="1">
      <c r="A9" s="59"/>
      <c r="B9" s="59"/>
      <c r="C9" s="87"/>
      <c r="D9" s="84"/>
      <c r="E9" s="40" t="str">
        <f xml:space="preserve">  InpC!E$64</f>
        <v>Opening Invoice finance balance</v>
      </c>
      <c r="F9" s="40">
        <f xml:space="preserve">  InpC!F$64</f>
        <v>0</v>
      </c>
      <c r="G9" s="40" t="str">
        <f xml:space="preserve">  InpC!G$64</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348</v>
      </c>
      <c r="G11" s="47" t="s">
        <v>258</v>
      </c>
      <c r="J11" s="2">
        <f t="shared" ref="J11:BQ11" si="0" xml:space="preserve">  I15</f>
        <v>0</v>
      </c>
      <c r="K11" s="2">
        <f t="shared" ca="1" si="0"/>
        <v>0</v>
      </c>
      <c r="L11" s="2">
        <f t="shared" ca="1" si="0"/>
        <v>27000</v>
      </c>
      <c r="M11" s="2">
        <f t="shared" ca="1" si="0"/>
        <v>64800</v>
      </c>
      <c r="N11" s="2">
        <f t="shared" ca="1" si="0"/>
        <v>86400</v>
      </c>
      <c r="O11" s="2">
        <f t="shared" ca="1" si="0"/>
        <v>108000</v>
      </c>
      <c r="P11" s="2">
        <f t="shared" ca="1" si="0"/>
        <v>140400</v>
      </c>
      <c r="Q11" s="2">
        <f t="shared" ca="1" si="0"/>
        <v>205200</v>
      </c>
      <c r="R11" s="2">
        <f t="shared" ca="1" si="0"/>
        <v>280800</v>
      </c>
      <c r="S11" s="2">
        <f t="shared" ca="1" si="0"/>
        <v>345600</v>
      </c>
      <c r="T11" s="2">
        <f t="shared" ca="1" si="0"/>
        <v>378000</v>
      </c>
      <c r="U11" s="2">
        <f t="shared" ca="1" si="0"/>
        <v>486000</v>
      </c>
      <c r="V11" s="2">
        <f t="shared" ca="1" si="0"/>
        <v>594000</v>
      </c>
      <c r="W11" s="2">
        <f t="shared" ca="1" si="0"/>
        <v>702000</v>
      </c>
      <c r="X11" s="2">
        <f t="shared" ca="1" si="0"/>
        <v>888811.00709540187</v>
      </c>
      <c r="Y11" s="2">
        <f t="shared" ca="1" si="0"/>
        <v>996811.00709540187</v>
      </c>
      <c r="Z11" s="2">
        <f t="shared" ca="1" si="0"/>
        <v>1121641.1419142552</v>
      </c>
      <c r="AA11" s="2">
        <f t="shared" ca="1" si="0"/>
        <v>1229641.1419142552</v>
      </c>
      <c r="AB11" s="2">
        <f t="shared" ca="1" si="0"/>
        <v>1242000</v>
      </c>
      <c r="AC11" s="2">
        <f t="shared" ca="1" si="0"/>
        <v>1242000</v>
      </c>
      <c r="AD11" s="2">
        <f t="shared" ca="1" si="0"/>
        <v>1242000</v>
      </c>
      <c r="AE11" s="2">
        <f t="shared" ca="1" si="0"/>
        <v>1242000</v>
      </c>
      <c r="AF11" s="2">
        <f t="shared" ca="1" si="0"/>
        <v>1242000</v>
      </c>
      <c r="AG11" s="2">
        <f t="shared" ca="1" si="0"/>
        <v>1296000</v>
      </c>
      <c r="AH11" s="2">
        <f t="shared" ca="1" si="0"/>
        <v>1404000</v>
      </c>
      <c r="AI11" s="2">
        <f t="shared" ca="1" si="0"/>
        <v>1501200</v>
      </c>
      <c r="AJ11" s="2">
        <f t="shared" ca="1" si="0"/>
        <v>1641600</v>
      </c>
      <c r="AK11" s="2">
        <f t="shared" ca="1" si="0"/>
        <v>869400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E$21</f>
        <v>Invoice finance drawdown</v>
      </c>
      <c r="F12" s="2">
        <f t="shared" si="1"/>
        <v>0</v>
      </c>
      <c r="G12" s="2" t="str">
        <f t="shared" si="1"/>
        <v>GBP</v>
      </c>
      <c r="H12" s="2">
        <f t="shared" ca="1" si="1"/>
        <v>10288652.149009656</v>
      </c>
      <c r="I12" s="2">
        <f t="shared" si="1"/>
        <v>0</v>
      </c>
      <c r="J12" s="2">
        <f t="shared" ca="1" si="1"/>
        <v>0</v>
      </c>
      <c r="K12" s="2">
        <f t="shared" ca="1" si="1"/>
        <v>27000</v>
      </c>
      <c r="L12" s="2">
        <f t="shared" ca="1" si="1"/>
        <v>37800</v>
      </c>
      <c r="M12" s="2">
        <f t="shared" ca="1" si="1"/>
        <v>48600</v>
      </c>
      <c r="N12" s="2">
        <f t="shared" ca="1" si="1"/>
        <v>59400</v>
      </c>
      <c r="O12" s="2">
        <f t="shared" ca="1" si="1"/>
        <v>81000</v>
      </c>
      <c r="P12" s="2">
        <f t="shared" ca="1" si="1"/>
        <v>124200</v>
      </c>
      <c r="Q12" s="2">
        <f t="shared" ca="1" si="1"/>
        <v>156600</v>
      </c>
      <c r="R12" s="2">
        <f t="shared" ca="1" si="1"/>
        <v>189000</v>
      </c>
      <c r="S12" s="2">
        <f t="shared" ca="1" si="1"/>
        <v>189000</v>
      </c>
      <c r="T12" s="2">
        <f t="shared" ca="1" si="1"/>
        <v>297000</v>
      </c>
      <c r="U12" s="2">
        <f t="shared" ca="1" si="1"/>
        <v>297000</v>
      </c>
      <c r="V12" s="2">
        <f t="shared" ca="1" si="1"/>
        <v>405000</v>
      </c>
      <c r="W12" s="2">
        <f t="shared" ca="1" si="1"/>
        <v>483811.00709540193</v>
      </c>
      <c r="X12" s="2">
        <f t="shared" ca="1" si="1"/>
        <v>513000</v>
      </c>
      <c r="Y12" s="2">
        <f t="shared" ca="1" si="1"/>
        <v>608641.1419142551</v>
      </c>
      <c r="Z12" s="2">
        <f t="shared" ca="1" si="1"/>
        <v>621000</v>
      </c>
      <c r="AA12" s="2">
        <f t="shared" ca="1" si="1"/>
        <v>621000</v>
      </c>
      <c r="AB12" s="2">
        <f t="shared" ca="1" si="1"/>
        <v>621000</v>
      </c>
      <c r="AC12" s="2">
        <f t="shared" ca="1" si="1"/>
        <v>621000</v>
      </c>
      <c r="AD12" s="2">
        <f t="shared" ca="1" si="1"/>
        <v>621000</v>
      </c>
      <c r="AE12" s="2">
        <f t="shared" ca="1" si="1"/>
        <v>621000</v>
      </c>
      <c r="AF12" s="2">
        <f t="shared" ca="1" si="1"/>
        <v>675000</v>
      </c>
      <c r="AG12" s="2">
        <f t="shared" ca="1" si="1"/>
        <v>729000</v>
      </c>
      <c r="AH12" s="2">
        <f t="shared" ca="1" si="1"/>
        <v>772200</v>
      </c>
      <c r="AI12" s="2">
        <f t="shared" ca="1" si="1"/>
        <v>869400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E$27</f>
        <v>Invoice finance principal repayment POS</v>
      </c>
      <c r="F14" s="2">
        <f t="shared" si="3"/>
        <v>0</v>
      </c>
      <c r="G14" s="2" t="str">
        <f t="shared" si="3"/>
        <v>GBP</v>
      </c>
      <c r="H14" s="2">
        <f t="shared" ca="1" si="3"/>
        <v>10288652.149009656</v>
      </c>
      <c r="I14" s="2">
        <f t="shared" si="3"/>
        <v>0</v>
      </c>
      <c r="J14" s="2">
        <f t="shared" ca="1" si="3"/>
        <v>0</v>
      </c>
      <c r="K14" s="2">
        <f t="shared" ca="1" si="3"/>
        <v>0</v>
      </c>
      <c r="L14" s="2">
        <f t="shared" ca="1" si="3"/>
        <v>0</v>
      </c>
      <c r="M14" s="2">
        <f t="shared" ca="1" si="3"/>
        <v>27000</v>
      </c>
      <c r="N14" s="2">
        <f t="shared" ca="1" si="3"/>
        <v>37800</v>
      </c>
      <c r="O14" s="2">
        <f t="shared" ca="1" si="3"/>
        <v>48600</v>
      </c>
      <c r="P14" s="2">
        <f t="shared" ca="1" si="3"/>
        <v>59400</v>
      </c>
      <c r="Q14" s="2">
        <f t="shared" ca="1" si="3"/>
        <v>81000</v>
      </c>
      <c r="R14" s="2">
        <f t="shared" ca="1" si="3"/>
        <v>124200</v>
      </c>
      <c r="S14" s="2">
        <f t="shared" ca="1" si="3"/>
        <v>156600</v>
      </c>
      <c r="T14" s="2">
        <f t="shared" ca="1" si="3"/>
        <v>189000</v>
      </c>
      <c r="U14" s="2">
        <f t="shared" ca="1" si="3"/>
        <v>189000</v>
      </c>
      <c r="V14" s="2">
        <f t="shared" ca="1" si="3"/>
        <v>297000</v>
      </c>
      <c r="W14" s="2">
        <f t="shared" ca="1" si="3"/>
        <v>297000</v>
      </c>
      <c r="X14" s="2">
        <f t="shared" ca="1" si="3"/>
        <v>405000</v>
      </c>
      <c r="Y14" s="2">
        <f t="shared" ca="1" si="3"/>
        <v>483811.00709540193</v>
      </c>
      <c r="Z14" s="2">
        <f t="shared" ca="1" si="3"/>
        <v>513000</v>
      </c>
      <c r="AA14" s="2">
        <f t="shared" ca="1" si="3"/>
        <v>608641.1419142551</v>
      </c>
      <c r="AB14" s="2">
        <f t="shared" ca="1" si="3"/>
        <v>621000</v>
      </c>
      <c r="AC14" s="2">
        <f t="shared" ca="1" si="3"/>
        <v>621000</v>
      </c>
      <c r="AD14" s="2">
        <f t="shared" ca="1" si="3"/>
        <v>621000</v>
      </c>
      <c r="AE14" s="2">
        <f t="shared" ca="1" si="3"/>
        <v>621000</v>
      </c>
      <c r="AF14" s="2">
        <f t="shared" ca="1" si="3"/>
        <v>621000</v>
      </c>
      <c r="AG14" s="2">
        <f t="shared" ca="1" si="3"/>
        <v>621000</v>
      </c>
      <c r="AH14" s="2">
        <f t="shared" ca="1" si="3"/>
        <v>675000</v>
      </c>
      <c r="AI14" s="2">
        <f t="shared" ca="1" si="3"/>
        <v>729000</v>
      </c>
      <c r="AJ14" s="2">
        <f t="shared" ca="1" si="3"/>
        <v>772200</v>
      </c>
      <c r="AK14" s="2">
        <f t="shared" ca="1" si="3"/>
        <v>869400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304</v>
      </c>
      <c r="F15" s="33"/>
      <c r="G15" s="33" t="s">
        <v>258</v>
      </c>
      <c r="H15" s="33"/>
      <c r="I15" s="11">
        <f t="shared" ref="I15:BQ15" si="4" xml:space="preserve">  IF( I10 = 0, $F9, I11 + I12 + I13 - I14 )</f>
        <v>0</v>
      </c>
      <c r="J15" s="11">
        <f t="shared" ca="1" si="4"/>
        <v>0</v>
      </c>
      <c r="K15" s="11">
        <f t="shared" ca="1" si="4"/>
        <v>27000</v>
      </c>
      <c r="L15" s="11">
        <f t="shared" ca="1" si="4"/>
        <v>64800</v>
      </c>
      <c r="M15" s="11">
        <f t="shared" ca="1" si="4"/>
        <v>86400</v>
      </c>
      <c r="N15" s="11">
        <f t="shared" ca="1" si="4"/>
        <v>108000</v>
      </c>
      <c r="O15" s="11">
        <f t="shared" ca="1" si="4"/>
        <v>140400</v>
      </c>
      <c r="P15" s="11">
        <f t="shared" ca="1" si="4"/>
        <v>205200</v>
      </c>
      <c r="Q15" s="11">
        <f t="shared" ca="1" si="4"/>
        <v>280800</v>
      </c>
      <c r="R15" s="11">
        <f t="shared" ca="1" si="4"/>
        <v>345600</v>
      </c>
      <c r="S15" s="11">
        <f t="shared" ca="1" si="4"/>
        <v>378000</v>
      </c>
      <c r="T15" s="11">
        <f t="shared" ca="1" si="4"/>
        <v>486000</v>
      </c>
      <c r="U15" s="11">
        <f t="shared" ca="1" si="4"/>
        <v>594000</v>
      </c>
      <c r="V15" s="11">
        <f t="shared" ca="1" si="4"/>
        <v>702000</v>
      </c>
      <c r="W15" s="11">
        <f t="shared" ca="1" si="4"/>
        <v>888811.00709540187</v>
      </c>
      <c r="X15" s="11">
        <f t="shared" ca="1" si="4"/>
        <v>996811.00709540187</v>
      </c>
      <c r="Y15" s="11">
        <f t="shared" ca="1" si="4"/>
        <v>1121641.1419142552</v>
      </c>
      <c r="Z15" s="11">
        <f t="shared" ca="1" si="4"/>
        <v>1229641.1419142552</v>
      </c>
      <c r="AA15" s="11">
        <f t="shared" ca="1" si="4"/>
        <v>1242000</v>
      </c>
      <c r="AB15" s="11">
        <f t="shared" ca="1" si="4"/>
        <v>1242000</v>
      </c>
      <c r="AC15" s="11">
        <f t="shared" ca="1" si="4"/>
        <v>1242000</v>
      </c>
      <c r="AD15" s="11">
        <f t="shared" ca="1" si="4"/>
        <v>1242000</v>
      </c>
      <c r="AE15" s="11">
        <f t="shared" ca="1" si="4"/>
        <v>1242000</v>
      </c>
      <c r="AF15" s="11">
        <f t="shared" ca="1" si="4"/>
        <v>1296000</v>
      </c>
      <c r="AG15" s="11">
        <f t="shared" ca="1" si="4"/>
        <v>1404000</v>
      </c>
      <c r="AH15" s="11">
        <f t="shared" ca="1" si="4"/>
        <v>1501200</v>
      </c>
      <c r="AI15" s="11">
        <f t="shared" ca="1" si="4"/>
        <v>1641600</v>
      </c>
      <c r="AJ15" s="11">
        <f t="shared" ca="1" si="4"/>
        <v>869400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13</v>
      </c>
    </row>
    <row r="18" spans="1:69" outlineLevel="1">
      <c r="A18" s="18"/>
      <c r="B18" s="18"/>
      <c r="C18" s="28"/>
      <c r="D18" s="27"/>
      <c r="E18" s="42" t="str">
        <f xml:space="preserve">  InpC!E$62</f>
        <v>Invoice Finance Advance %</v>
      </c>
      <c r="F18" s="42">
        <f xml:space="preserve">  InpC!F$62</f>
        <v>0.9</v>
      </c>
      <c r="G18" s="42" t="str">
        <f xml:space="preserve">  InpC!G$62</f>
        <v>%</v>
      </c>
      <c r="M18" s="57"/>
    </row>
    <row r="19" spans="1:69" outlineLevel="1">
      <c r="A19" s="18"/>
      <c r="B19" s="18"/>
      <c r="C19" s="28"/>
      <c r="D19" s="27"/>
      <c r="E19" s="4" t="str">
        <f xml:space="preserve">  Income!E$18</f>
        <v>Income</v>
      </c>
      <c r="F19" s="4">
        <f xml:space="preserve">  Income!F$18</f>
        <v>0</v>
      </c>
      <c r="G19" s="4" t="str">
        <f xml:space="preserve">  Income!G$18</f>
        <v>GBP</v>
      </c>
      <c r="H19" s="4">
        <f ca="1" xml:space="preserve">  Income!H$18</f>
        <v>140213362.95026162</v>
      </c>
      <c r="I19" s="4">
        <f xml:space="preserve">  Income!I$18</f>
        <v>0</v>
      </c>
      <c r="J19" s="4">
        <f ca="1" xml:space="preserve">  Income!J$18</f>
        <v>18000</v>
      </c>
      <c r="K19" s="4">
        <f ca="1" xml:space="preserve">  Income!K$18</f>
        <v>30000</v>
      </c>
      <c r="L19" s="4">
        <f ca="1" xml:space="preserve">  Income!L$18</f>
        <v>42000</v>
      </c>
      <c r="M19" s="4">
        <f ca="1" xml:space="preserve">  Income!M$18</f>
        <v>54000</v>
      </c>
      <c r="N19" s="4">
        <f ca="1" xml:space="preserve">  Income!N$18</f>
        <v>66000</v>
      </c>
      <c r="O19" s="4">
        <f ca="1" xml:space="preserve">  Income!O$18</f>
        <v>90000</v>
      </c>
      <c r="P19" s="4">
        <f ca="1" xml:space="preserve">  Income!P$18</f>
        <v>138000</v>
      </c>
      <c r="Q19" s="4">
        <f ca="1" xml:space="preserve">  Income!Q$18</f>
        <v>174000</v>
      </c>
      <c r="R19" s="4">
        <f ca="1" xml:space="preserve">  Income!R$18</f>
        <v>210000</v>
      </c>
      <c r="S19" s="4">
        <f ca="1" xml:space="preserve">  Income!S$18</f>
        <v>210000</v>
      </c>
      <c r="T19" s="4">
        <f ca="1" xml:space="preserve">  Income!T$18</f>
        <v>330000</v>
      </c>
      <c r="U19" s="4">
        <f ca="1" xml:space="preserve">  Income!U$18</f>
        <v>330000</v>
      </c>
      <c r="V19" s="4">
        <f ca="1" xml:space="preserve">  Income!V$18</f>
        <v>450000</v>
      </c>
      <c r="W19" s="4">
        <f ca="1" xml:space="preserve">  Income!W$18</f>
        <v>537567.78566155769</v>
      </c>
      <c r="X19" s="4">
        <f ca="1" xml:space="preserve">  Income!X$18</f>
        <v>570000</v>
      </c>
      <c r="Y19" s="4">
        <f ca="1" xml:space="preserve">  Income!Y$18</f>
        <v>676267.93546028342</v>
      </c>
      <c r="Z19" s="4">
        <f ca="1" xml:space="preserve">  Income!Z$18</f>
        <v>690000</v>
      </c>
      <c r="AA19" s="4">
        <f ca="1" xml:space="preserve">  Income!AA$18</f>
        <v>690000</v>
      </c>
      <c r="AB19" s="4">
        <f ca="1" xml:space="preserve">  Income!AB$18</f>
        <v>690000</v>
      </c>
      <c r="AC19" s="4">
        <f ca="1" xml:space="preserve">  Income!AC$18</f>
        <v>690000</v>
      </c>
      <c r="AD19" s="4">
        <f ca="1" xml:space="preserve">  Income!AD$18</f>
        <v>690000</v>
      </c>
      <c r="AE19" s="4">
        <f ca="1" xml:space="preserve">  Income!AE$18</f>
        <v>690000</v>
      </c>
      <c r="AF19" s="4">
        <f ca="1" xml:space="preserve">  Income!AF$18</f>
        <v>750000</v>
      </c>
      <c r="AG19" s="4">
        <f ca="1" xml:space="preserve">  Income!AG$18</f>
        <v>810000</v>
      </c>
      <c r="AH19" s="4">
        <f ca="1" xml:space="preserve">  Income!AH$18</f>
        <v>858000</v>
      </c>
      <c r="AI19" s="4">
        <f ca="1" xml:space="preserve">  Income!AI$18</f>
        <v>966000</v>
      </c>
      <c r="AJ19" s="4">
        <f ca="1" xml:space="preserve">  Income!AJ$18</f>
        <v>1074000</v>
      </c>
      <c r="AK19" s="4">
        <f ca="1" xml:space="preserve">  Income!AK$18</f>
        <v>1122000</v>
      </c>
      <c r="AL19" s="4">
        <f ca="1" xml:space="preserve">  Income!AL$18</f>
        <v>1206000</v>
      </c>
      <c r="AM19" s="4">
        <f ca="1" xml:space="preserve">  Income!AM$18</f>
        <v>1290000</v>
      </c>
      <c r="AN19" s="4">
        <f ca="1" xml:space="preserve">  Income!AN$18</f>
        <v>1374000</v>
      </c>
      <c r="AO19" s="4">
        <f ca="1" xml:space="preserve">  Income!AO$18</f>
        <v>1434000</v>
      </c>
      <c r="AP19" s="4">
        <f ca="1" xml:space="preserve">  Income!AP$18</f>
        <v>1554000</v>
      </c>
      <c r="AQ19" s="4">
        <f ca="1" xml:space="preserve">  Income!AQ$18</f>
        <v>1614000</v>
      </c>
      <c r="AR19" s="4">
        <f ca="1" xml:space="preserve">  Income!AR$18</f>
        <v>1734000</v>
      </c>
      <c r="AS19" s="4">
        <f ca="1" xml:space="preserve">  Income!AS$18</f>
        <v>1854000</v>
      </c>
      <c r="AT19" s="4">
        <f ca="1" xml:space="preserve">  Income!AT$18</f>
        <v>1970432.2143384423</v>
      </c>
      <c r="AU19" s="4">
        <f ca="1" xml:space="preserve">  Income!AU$18</f>
        <v>2143084.4914398799</v>
      </c>
      <c r="AV19" s="4">
        <f ca="1" xml:space="preserve">  Income!AV$18</f>
        <v>2311732.0645397166</v>
      </c>
      <c r="AW19" s="4">
        <f ca="1" xml:space="preserve">  Income!AW$18</f>
        <v>2476136.8015460242</v>
      </c>
      <c r="AX19" s="4">
        <f ca="1" xml:space="preserve">  Income!AX$18</f>
        <v>2696046.4102958222</v>
      </c>
      <c r="AY19" s="4">
        <f ca="1" xml:space="preserve">  Income!AY$18</f>
        <v>2851193.5965534365</v>
      </c>
      <c r="AZ19" s="4">
        <f ca="1" xml:space="preserve">  Income!AZ$18</f>
        <v>3061295.1719408361</v>
      </c>
      <c r="BA19" s="4">
        <f ca="1" xml:space="preserve">  Income!BA$18</f>
        <v>3326051.1088227443</v>
      </c>
      <c r="BB19" s="4">
        <f ca="1" xml:space="preserve">  Income!BB$18</f>
        <v>3525143.5389922983</v>
      </c>
      <c r="BC19" s="4">
        <f ca="1" xml:space="preserve">  Income!BC$18</f>
        <v>3778235.6928154575</v>
      </c>
      <c r="BD19" s="4">
        <f ca="1" xml:space="preserve">  Income!BD$18</f>
        <v>4024970.7752936548</v>
      </c>
      <c r="BE19" s="4">
        <f ca="1" xml:space="preserve">  Income!BE$18</f>
        <v>4324970.7752936548</v>
      </c>
      <c r="BF19" s="4">
        <f ca="1" xml:space="preserve">  Income!BF$18</f>
        <v>4607035.2039705394</v>
      </c>
      <c r="BG19" s="4">
        <f ca="1" xml:space="preserve">  Income!BG$18</f>
        <v>4881539.7581734145</v>
      </c>
      <c r="BH19" s="4">
        <f ca="1" xml:space="preserve">  Income!BH$18</f>
        <v>5208034.9043730879</v>
      </c>
      <c r="BI19" s="4">
        <f ca="1" xml:space="preserve">  Income!BI$18</f>
        <v>5526044.3783857031</v>
      </c>
      <c r="BJ19" s="4">
        <f ca="1" xml:space="preserve">  Income!BJ$18</f>
        <v>5873463.5958852991</v>
      </c>
      <c r="BK19" s="4">
        <f ca="1" xml:space="preserve">  Income!BK$18</f>
        <v>6211357.9684005277</v>
      </c>
      <c r="BL19" s="4">
        <f ca="1" xml:space="preserve">  Income!BL$18</f>
        <v>6599161.1191753261</v>
      </c>
      <c r="BM19" s="4">
        <f ca="1" xml:space="preserve">  Income!BM$18</f>
        <v>6954672.9929391425</v>
      </c>
      <c r="BN19" s="4">
        <f ca="1" xml:space="preserve">  Income!BN$18</f>
        <v>7358857.8532782504</v>
      </c>
      <c r="BO19" s="4">
        <f ca="1" xml:space="preserve">  Income!BO$18</f>
        <v>7811042.1609245688</v>
      </c>
      <c r="BP19" s="4">
        <f ca="1" xml:space="preserve">  Income!BP$18</f>
        <v>8250512.3258809634</v>
      </c>
      <c r="BQ19" s="4">
        <f ca="1" xml:space="preserve">  Income!BQ$18</f>
        <v>8736512.3258809634</v>
      </c>
    </row>
    <row r="20" spans="1:69" outlineLevel="1">
      <c r="A20" s="18"/>
      <c r="B20" s="18"/>
      <c r="C20" s="28"/>
      <c r="D20" s="27"/>
      <c r="E20" s="4" t="str">
        <f xml:space="preserve">  Time!E$243</f>
        <v>Invoice Finance Enabled flag</v>
      </c>
      <c r="F20" s="4">
        <f xml:space="preserve">  Time!F$243</f>
        <v>0</v>
      </c>
      <c r="G20" s="4" t="str">
        <f xml:space="preserve">  Time!G$243</f>
        <v>flag</v>
      </c>
      <c r="H20" s="4">
        <f xml:space="preserve">  Time!H$243</f>
        <v>25</v>
      </c>
      <c r="I20" s="4">
        <f xml:space="preserve">  Time!I$243</f>
        <v>0</v>
      </c>
      <c r="J20" s="4">
        <f xml:space="preserve">  Time!J$243</f>
        <v>0</v>
      </c>
      <c r="K20" s="4">
        <f xml:space="preserve">  Time!K$243</f>
        <v>1</v>
      </c>
      <c r="L20" s="4">
        <f xml:space="preserve">  Time!L$243</f>
        <v>1</v>
      </c>
      <c r="M20" s="4">
        <f xml:space="preserve">  Time!M$243</f>
        <v>1</v>
      </c>
      <c r="N20" s="4">
        <f xml:space="preserve">  Time!N$243</f>
        <v>1</v>
      </c>
      <c r="O20" s="4">
        <f xml:space="preserve">  Time!O$243</f>
        <v>1</v>
      </c>
      <c r="P20" s="4">
        <f xml:space="preserve">  Time!P$243</f>
        <v>1</v>
      </c>
      <c r="Q20" s="4">
        <f xml:space="preserve">  Time!Q$243</f>
        <v>1</v>
      </c>
      <c r="R20" s="4">
        <f xml:space="preserve">  Time!R$243</f>
        <v>1</v>
      </c>
      <c r="S20" s="4">
        <f xml:space="preserve">  Time!S$243</f>
        <v>1</v>
      </c>
      <c r="T20" s="4">
        <f xml:space="preserve">  Time!T$243</f>
        <v>1</v>
      </c>
      <c r="U20" s="4">
        <f xml:space="preserve">  Time!U$243</f>
        <v>1</v>
      </c>
      <c r="V20" s="4">
        <f xml:space="preserve">  Time!V$243</f>
        <v>1</v>
      </c>
      <c r="W20" s="4">
        <f xml:space="preserve">  Time!W$243</f>
        <v>1</v>
      </c>
      <c r="X20" s="4">
        <f xml:space="preserve">  Time!X$243</f>
        <v>1</v>
      </c>
      <c r="Y20" s="4">
        <f xml:space="preserve">  Time!Y$243</f>
        <v>1</v>
      </c>
      <c r="Z20" s="4">
        <f xml:space="preserve">  Time!Z$243</f>
        <v>1</v>
      </c>
      <c r="AA20" s="4">
        <f xml:space="preserve">  Time!AA$243</f>
        <v>1</v>
      </c>
      <c r="AB20" s="4">
        <f xml:space="preserve">  Time!AB$243</f>
        <v>1</v>
      </c>
      <c r="AC20" s="4">
        <f xml:space="preserve">  Time!AC$243</f>
        <v>1</v>
      </c>
      <c r="AD20" s="4">
        <f xml:space="preserve">  Time!AD$243</f>
        <v>1</v>
      </c>
      <c r="AE20" s="4">
        <f xml:space="preserve">  Time!AE$243</f>
        <v>1</v>
      </c>
      <c r="AF20" s="4">
        <f xml:space="preserve">  Time!AF$243</f>
        <v>1</v>
      </c>
      <c r="AG20" s="4">
        <f xml:space="preserve">  Time!AG$243</f>
        <v>1</v>
      </c>
      <c r="AH20" s="4">
        <f xml:space="preserve">  Time!AH$243</f>
        <v>1</v>
      </c>
      <c r="AI20" s="4">
        <f xml:space="preserve">  Time!AI$243</f>
        <v>1</v>
      </c>
      <c r="AJ20" s="4">
        <f xml:space="preserve">  Time!AJ$243</f>
        <v>0</v>
      </c>
      <c r="AK20" s="4">
        <f xml:space="preserve">  Time!AK$243</f>
        <v>0</v>
      </c>
      <c r="AL20" s="4">
        <f xml:space="preserve">  Time!AL$243</f>
        <v>0</v>
      </c>
      <c r="AM20" s="4">
        <f xml:space="preserve">  Time!AM$243</f>
        <v>0</v>
      </c>
      <c r="AN20" s="4">
        <f xml:space="preserve">  Time!AN$243</f>
        <v>0</v>
      </c>
      <c r="AO20" s="4">
        <f xml:space="preserve">  Time!AO$243</f>
        <v>0</v>
      </c>
      <c r="AP20" s="4">
        <f xml:space="preserve">  Time!AP$243</f>
        <v>0</v>
      </c>
      <c r="AQ20" s="4">
        <f xml:space="preserve">  Time!AQ$243</f>
        <v>0</v>
      </c>
      <c r="AR20" s="4">
        <f xml:space="preserve">  Time!AR$243</f>
        <v>0</v>
      </c>
      <c r="AS20" s="4">
        <f xml:space="preserve">  Time!AS$243</f>
        <v>0</v>
      </c>
      <c r="AT20" s="4">
        <f xml:space="preserve">  Time!AT$243</f>
        <v>0</v>
      </c>
      <c r="AU20" s="4">
        <f xml:space="preserve">  Time!AU$243</f>
        <v>0</v>
      </c>
      <c r="AV20" s="4">
        <f xml:space="preserve">  Time!AV$243</f>
        <v>0</v>
      </c>
      <c r="AW20" s="4">
        <f xml:space="preserve">  Time!AW$243</f>
        <v>0</v>
      </c>
      <c r="AX20" s="4">
        <f xml:space="preserve">  Time!AX$243</f>
        <v>0</v>
      </c>
      <c r="AY20" s="4">
        <f xml:space="preserve">  Time!AY$243</f>
        <v>0</v>
      </c>
      <c r="AZ20" s="4">
        <f xml:space="preserve">  Time!AZ$243</f>
        <v>0</v>
      </c>
      <c r="BA20" s="4">
        <f xml:space="preserve">  Time!BA$243</f>
        <v>0</v>
      </c>
      <c r="BB20" s="4">
        <f xml:space="preserve">  Time!BB$243</f>
        <v>0</v>
      </c>
      <c r="BC20" s="4">
        <f xml:space="preserve">  Time!BC$243</f>
        <v>0</v>
      </c>
      <c r="BD20" s="4">
        <f xml:space="preserve">  Time!BD$243</f>
        <v>0</v>
      </c>
      <c r="BE20" s="4">
        <f xml:space="preserve">  Time!BE$243</f>
        <v>0</v>
      </c>
      <c r="BF20" s="4">
        <f xml:space="preserve">  Time!BF$243</f>
        <v>0</v>
      </c>
      <c r="BG20" s="4">
        <f xml:space="preserve">  Time!BG$243</f>
        <v>0</v>
      </c>
      <c r="BH20" s="4">
        <f xml:space="preserve">  Time!BH$243</f>
        <v>0</v>
      </c>
      <c r="BI20" s="4">
        <f xml:space="preserve">  Time!BI$243</f>
        <v>0</v>
      </c>
      <c r="BJ20" s="4">
        <f xml:space="preserve">  Time!BJ$243</f>
        <v>0</v>
      </c>
      <c r="BK20" s="4">
        <f xml:space="preserve">  Time!BK$243</f>
        <v>0</v>
      </c>
      <c r="BL20" s="4">
        <f xml:space="preserve">  Time!BL$243</f>
        <v>0</v>
      </c>
      <c r="BM20" s="4">
        <f xml:space="preserve">  Time!BM$243</f>
        <v>0</v>
      </c>
      <c r="BN20" s="4">
        <f xml:space="preserve">  Time!BN$243</f>
        <v>0</v>
      </c>
      <c r="BO20" s="4">
        <f xml:space="preserve">  Time!BO$243</f>
        <v>0</v>
      </c>
      <c r="BP20" s="4">
        <f xml:space="preserve">  Time!BP$243</f>
        <v>0</v>
      </c>
      <c r="BQ20" s="4">
        <f xml:space="preserve">  Time!BQ$243</f>
        <v>0</v>
      </c>
    </row>
    <row r="21" spans="1:69" outlineLevel="1">
      <c r="A21" s="34"/>
      <c r="B21" s="34"/>
      <c r="C21" s="64"/>
      <c r="D21" s="65"/>
      <c r="E21" s="21" t="s">
        <v>13</v>
      </c>
      <c r="F21" s="21"/>
      <c r="G21" s="21" t="s">
        <v>258</v>
      </c>
      <c r="H21" s="3">
        <f ca="1" xml:space="preserve"> SUM( J21:BQ21 )</f>
        <v>10288652.149009656</v>
      </c>
      <c r="I21" s="21"/>
      <c r="J21" s="3">
        <f t="shared" ref="J21:BQ21" ca="1" si="5" xml:space="preserve">  J20 * J19 * $F18</f>
        <v>0</v>
      </c>
      <c r="K21" s="3">
        <f t="shared" ca="1" si="5"/>
        <v>27000</v>
      </c>
      <c r="L21" s="3">
        <f t="shared" ca="1" si="5"/>
        <v>37800</v>
      </c>
      <c r="M21" s="3">
        <f t="shared" ca="1" si="5"/>
        <v>48600</v>
      </c>
      <c r="N21" s="3">
        <f t="shared" ca="1" si="5"/>
        <v>59400</v>
      </c>
      <c r="O21" s="3">
        <f t="shared" ca="1" si="5"/>
        <v>81000</v>
      </c>
      <c r="P21" s="3">
        <f t="shared" ca="1" si="5"/>
        <v>124200</v>
      </c>
      <c r="Q21" s="3">
        <f t="shared" ca="1" si="5"/>
        <v>156600</v>
      </c>
      <c r="R21" s="3">
        <f t="shared" ca="1" si="5"/>
        <v>189000</v>
      </c>
      <c r="S21" s="3">
        <f t="shared" ca="1" si="5"/>
        <v>189000</v>
      </c>
      <c r="T21" s="3">
        <f t="shared" ca="1" si="5"/>
        <v>297000</v>
      </c>
      <c r="U21" s="3">
        <f t="shared" ca="1" si="5"/>
        <v>297000</v>
      </c>
      <c r="V21" s="3">
        <f t="shared" ca="1" si="5"/>
        <v>405000</v>
      </c>
      <c r="W21" s="3">
        <f t="shared" ca="1" si="5"/>
        <v>483811.00709540193</v>
      </c>
      <c r="X21" s="3">
        <f t="shared" ca="1" si="5"/>
        <v>513000</v>
      </c>
      <c r="Y21" s="3">
        <f t="shared" ca="1" si="5"/>
        <v>608641.1419142551</v>
      </c>
      <c r="Z21" s="3">
        <f t="shared" ca="1" si="5"/>
        <v>621000</v>
      </c>
      <c r="AA21" s="3">
        <f t="shared" ca="1" si="5"/>
        <v>621000</v>
      </c>
      <c r="AB21" s="3">
        <f t="shared" ca="1" si="5"/>
        <v>621000</v>
      </c>
      <c r="AC21" s="3">
        <f t="shared" ca="1" si="5"/>
        <v>621000</v>
      </c>
      <c r="AD21" s="3">
        <f t="shared" ca="1" si="5"/>
        <v>621000</v>
      </c>
      <c r="AE21" s="3">
        <f t="shared" ca="1" si="5"/>
        <v>621000</v>
      </c>
      <c r="AF21" s="3">
        <f t="shared" ca="1" si="5"/>
        <v>675000</v>
      </c>
      <c r="AG21" s="3">
        <f t="shared" ca="1" si="5"/>
        <v>729000</v>
      </c>
      <c r="AH21" s="3">
        <f t="shared" ca="1" si="5"/>
        <v>772200</v>
      </c>
      <c r="AI21" s="3">
        <f t="shared" ca="1" si="5"/>
        <v>869400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5" t="s">
        <v>82</v>
      </c>
    </row>
    <row r="25" spans="1:69" outlineLevel="1">
      <c r="A25" s="18"/>
      <c r="B25" s="18"/>
      <c r="C25" s="28"/>
      <c r="D25" s="27"/>
      <c r="E25" s="4" t="str">
        <f xml:space="preserve">  InpC!E$19</f>
        <v>Customer payment terms (months)</v>
      </c>
      <c r="F25" s="4">
        <f xml:space="preserve">  InpC!F$19</f>
        <v>2</v>
      </c>
      <c r="G25" s="4" t="str">
        <f xml:space="preserve">  InpC!G$19</f>
        <v>Months</v>
      </c>
      <c r="M25" s="2"/>
    </row>
    <row r="26" spans="1:69" outlineLevel="1">
      <c r="E26" s="2" t="str">
        <f t="shared" ref="E26:BQ26" si="6" xml:space="preserve">  E$21</f>
        <v>Invoice finance drawdown</v>
      </c>
      <c r="F26" s="2">
        <f t="shared" si="6"/>
        <v>0</v>
      </c>
      <c r="G26" s="2" t="str">
        <f t="shared" si="6"/>
        <v>GBP</v>
      </c>
      <c r="H26" s="2">
        <f t="shared" ca="1" si="6"/>
        <v>10288652.149009656</v>
      </c>
      <c r="I26" s="2">
        <f t="shared" si="6"/>
        <v>0</v>
      </c>
      <c r="J26" s="2">
        <f t="shared" ca="1" si="6"/>
        <v>0</v>
      </c>
      <c r="K26" s="2">
        <f t="shared" ca="1" si="6"/>
        <v>27000</v>
      </c>
      <c r="L26" s="2">
        <f t="shared" ca="1" si="6"/>
        <v>37800</v>
      </c>
      <c r="M26" s="2">
        <f t="shared" ca="1" si="6"/>
        <v>48600</v>
      </c>
      <c r="N26" s="2">
        <f t="shared" ca="1" si="6"/>
        <v>59400</v>
      </c>
      <c r="O26" s="2">
        <f t="shared" ca="1" si="6"/>
        <v>81000</v>
      </c>
      <c r="P26" s="2">
        <f t="shared" ca="1" si="6"/>
        <v>124200</v>
      </c>
      <c r="Q26" s="2">
        <f t="shared" ca="1" si="6"/>
        <v>156600</v>
      </c>
      <c r="R26" s="2">
        <f t="shared" ca="1" si="6"/>
        <v>189000</v>
      </c>
      <c r="S26" s="2">
        <f t="shared" ca="1" si="6"/>
        <v>189000</v>
      </c>
      <c r="T26" s="2">
        <f t="shared" ca="1" si="6"/>
        <v>297000</v>
      </c>
      <c r="U26" s="2">
        <f t="shared" ca="1" si="6"/>
        <v>297000</v>
      </c>
      <c r="V26" s="2">
        <f t="shared" ca="1" si="6"/>
        <v>405000</v>
      </c>
      <c r="W26" s="2">
        <f t="shared" ca="1" si="6"/>
        <v>483811.00709540193</v>
      </c>
      <c r="X26" s="2">
        <f t="shared" ca="1" si="6"/>
        <v>513000</v>
      </c>
      <c r="Y26" s="2">
        <f t="shared" ca="1" si="6"/>
        <v>608641.1419142551</v>
      </c>
      <c r="Z26" s="2">
        <f t="shared" ca="1" si="6"/>
        <v>621000</v>
      </c>
      <c r="AA26" s="2">
        <f t="shared" ca="1" si="6"/>
        <v>621000</v>
      </c>
      <c r="AB26" s="2">
        <f t="shared" ca="1" si="6"/>
        <v>621000</v>
      </c>
      <c r="AC26" s="2">
        <f t="shared" ca="1" si="6"/>
        <v>621000</v>
      </c>
      <c r="AD26" s="2">
        <f t="shared" ca="1" si="6"/>
        <v>621000</v>
      </c>
      <c r="AE26" s="2">
        <f t="shared" ca="1" si="6"/>
        <v>621000</v>
      </c>
      <c r="AF26" s="2">
        <f t="shared" ca="1" si="6"/>
        <v>675000</v>
      </c>
      <c r="AG26" s="2">
        <f t="shared" ca="1" si="6"/>
        <v>729000</v>
      </c>
      <c r="AH26" s="2">
        <f t="shared" ca="1" si="6"/>
        <v>772200</v>
      </c>
      <c r="AI26" s="2">
        <f t="shared" ca="1" si="6"/>
        <v>869400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7" t="s">
        <v>90</v>
      </c>
      <c r="G27" s="47" t="s">
        <v>258</v>
      </c>
      <c r="H27" s="2">
        <f t="shared" ref="H27:H28" ca="1" si="7" xml:space="preserve"> SUM( J27:BQ27 )</f>
        <v>10288652.149009656</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27000</v>
      </c>
      <c r="N27" s="2">
        <f ca="1" xml:space="preserve">  IF( Time!N28 &lt; 1 + $F25, 0, OFFSET( N26, 0, - 1 * ( $F25 ) ) )</f>
        <v>37800</v>
      </c>
      <c r="O27" s="2">
        <f ca="1" xml:space="preserve">  IF( Time!O28 &lt; 1 + $F25, 0, OFFSET( O26, 0, - 1 * ( $F25 ) ) )</f>
        <v>48600</v>
      </c>
      <c r="P27" s="2">
        <f ca="1" xml:space="preserve">  IF( Time!P28 &lt; 1 + $F25, 0, OFFSET( P26, 0, - 1 * ( $F25 ) ) )</f>
        <v>59400</v>
      </c>
      <c r="Q27" s="2">
        <f ca="1" xml:space="preserve">  IF( Time!Q28 &lt; 1 + $F25, 0, OFFSET( Q26, 0, - 1 * ( $F25 ) ) )</f>
        <v>81000</v>
      </c>
      <c r="R27" s="2">
        <f ca="1" xml:space="preserve">  IF( Time!R28 &lt; 1 + $F25, 0, OFFSET( R26, 0, - 1 * ( $F25 ) ) )</f>
        <v>124200</v>
      </c>
      <c r="S27" s="2">
        <f ca="1" xml:space="preserve">  IF( Time!S28 &lt; 1 + $F25, 0, OFFSET( S26, 0, - 1 * ( $F25 ) ) )</f>
        <v>156600</v>
      </c>
      <c r="T27" s="2">
        <f ca="1" xml:space="preserve">  IF( Time!T28 &lt; 1 + $F25, 0, OFFSET( T26, 0, - 1 * ( $F25 ) ) )</f>
        <v>189000</v>
      </c>
      <c r="U27" s="2">
        <f ca="1" xml:space="preserve">  IF( Time!U28 &lt; 1 + $F25, 0, OFFSET( U26, 0, - 1 * ( $F25 ) ) )</f>
        <v>189000</v>
      </c>
      <c r="V27" s="2">
        <f ca="1" xml:space="preserve">  IF( Time!V28 &lt; 1 + $F25, 0, OFFSET( V26, 0, - 1 * ( $F25 ) ) )</f>
        <v>297000</v>
      </c>
      <c r="W27" s="2">
        <f ca="1" xml:space="preserve">  IF( Time!W28 &lt; 1 + $F25, 0, OFFSET( W26, 0, - 1 * ( $F25 ) ) )</f>
        <v>297000</v>
      </c>
      <c r="X27" s="2">
        <f ca="1" xml:space="preserve">  IF( Time!X28 &lt; 1 + $F25, 0, OFFSET( X26, 0, - 1 * ( $F25 ) ) )</f>
        <v>405000</v>
      </c>
      <c r="Y27" s="2">
        <f ca="1" xml:space="preserve">  IF( Time!Y28 &lt; 1 + $F25, 0, OFFSET( Y26, 0, - 1 * ( $F25 ) ) )</f>
        <v>483811.00709540193</v>
      </c>
      <c r="Z27" s="2">
        <f ca="1" xml:space="preserve">  IF( Time!Z28 &lt; 1 + $F25, 0, OFFSET( Z26, 0, - 1 * ( $F25 ) ) )</f>
        <v>513000</v>
      </c>
      <c r="AA27" s="2">
        <f ca="1" xml:space="preserve">  IF( Time!AA28 &lt; 1 + $F25, 0, OFFSET( AA26, 0, - 1 * ( $F25 ) ) )</f>
        <v>608641.1419142551</v>
      </c>
      <c r="AB27" s="2">
        <f ca="1" xml:space="preserve">  IF( Time!AB28 &lt; 1 + $F25, 0, OFFSET( AB26, 0, - 1 * ( $F25 ) ) )</f>
        <v>621000</v>
      </c>
      <c r="AC27" s="2">
        <f ca="1" xml:space="preserve">  IF( Time!AC28 &lt; 1 + $F25, 0, OFFSET( AC26, 0, - 1 * ( $F25 ) ) )</f>
        <v>621000</v>
      </c>
      <c r="AD27" s="2">
        <f ca="1" xml:space="preserve">  IF( Time!AD28 &lt; 1 + $F25, 0, OFFSET( AD26, 0, - 1 * ( $F25 ) ) )</f>
        <v>621000</v>
      </c>
      <c r="AE27" s="2">
        <f ca="1" xml:space="preserve">  IF( Time!AE28 &lt; 1 + $F25, 0, OFFSET( AE26, 0, - 1 * ( $F25 ) ) )</f>
        <v>621000</v>
      </c>
      <c r="AF27" s="2">
        <f ca="1" xml:space="preserve">  IF( Time!AF28 &lt; 1 + $F25, 0, OFFSET( AF26, 0, - 1 * ( $F25 ) ) )</f>
        <v>621000</v>
      </c>
      <c r="AG27" s="2">
        <f ca="1" xml:space="preserve">  IF( Time!AG28 &lt; 1 + $F25, 0, OFFSET( AG26, 0, - 1 * ( $F25 ) ) )</f>
        <v>621000</v>
      </c>
      <c r="AH27" s="2">
        <f ca="1" xml:space="preserve">  IF( Time!AH28 &lt; 1 + $F25, 0, OFFSET( AH26, 0, - 1 * ( $F25 ) ) )</f>
        <v>675000</v>
      </c>
      <c r="AI27" s="2">
        <f ca="1" xml:space="preserve">  IF( Time!AI28 &lt; 1 + $F25, 0, OFFSET( AI26, 0, - 1 * ( $F25 ) ) )</f>
        <v>729000</v>
      </c>
      <c r="AJ27" s="2">
        <f ca="1" xml:space="preserve">  IF( Time!AJ28 &lt; 1 + $F25, 0, OFFSET( AJ26, 0, - 1 * ( $F25 ) ) )</f>
        <v>772200</v>
      </c>
      <c r="AK27" s="2">
        <f ca="1" xml:space="preserve">  IF( Time!AK28 &lt; 1 + $F25, 0, OFFSET( AK26, 0, - 1 * ( $F25 ) ) )</f>
        <v>869400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4"/>
      <c r="B28" s="34"/>
      <c r="C28" s="64"/>
      <c r="D28" s="65"/>
      <c r="E28" s="21" t="str">
        <f xml:space="preserve"> LEFT($E$27, LEN($E$27) - 3 )</f>
        <v xml:space="preserve">Invoice finance principal repayment </v>
      </c>
      <c r="F28" s="21"/>
      <c r="G28" s="21" t="str">
        <f xml:space="preserve"> G$27</f>
        <v>GBP</v>
      </c>
      <c r="H28" s="3">
        <f t="shared" ca="1" si="7"/>
        <v>-10288652.149009656</v>
      </c>
      <c r="I28" s="21"/>
      <c r="J28" s="3">
        <f t="shared" ref="J28:BQ28" ca="1" si="8" xml:space="preserve"> -1 * J27</f>
        <v>0</v>
      </c>
      <c r="K28" s="3">
        <f t="shared" ca="1" si="8"/>
        <v>0</v>
      </c>
      <c r="L28" s="3">
        <f t="shared" ca="1" si="8"/>
        <v>0</v>
      </c>
      <c r="M28" s="3">
        <f t="shared" ca="1" si="8"/>
        <v>-27000</v>
      </c>
      <c r="N28" s="3">
        <f t="shared" ca="1" si="8"/>
        <v>-37800</v>
      </c>
      <c r="O28" s="3">
        <f t="shared" ca="1" si="8"/>
        <v>-48600</v>
      </c>
      <c r="P28" s="3">
        <f t="shared" ca="1" si="8"/>
        <v>-59400</v>
      </c>
      <c r="Q28" s="3">
        <f t="shared" ca="1" si="8"/>
        <v>-81000</v>
      </c>
      <c r="R28" s="3">
        <f t="shared" ca="1" si="8"/>
        <v>-124200</v>
      </c>
      <c r="S28" s="3">
        <f t="shared" ca="1" si="8"/>
        <v>-156600</v>
      </c>
      <c r="T28" s="3">
        <f t="shared" ca="1" si="8"/>
        <v>-189000</v>
      </c>
      <c r="U28" s="3">
        <f t="shared" ca="1" si="8"/>
        <v>-189000</v>
      </c>
      <c r="V28" s="3">
        <f t="shared" ca="1" si="8"/>
        <v>-297000</v>
      </c>
      <c r="W28" s="3">
        <f t="shared" ca="1" si="8"/>
        <v>-297000</v>
      </c>
      <c r="X28" s="3">
        <f t="shared" ca="1" si="8"/>
        <v>-405000</v>
      </c>
      <c r="Y28" s="3">
        <f t="shared" ca="1" si="8"/>
        <v>-483811.00709540193</v>
      </c>
      <c r="Z28" s="3">
        <f t="shared" ca="1" si="8"/>
        <v>-513000</v>
      </c>
      <c r="AA28" s="3">
        <f t="shared" ca="1" si="8"/>
        <v>-608641.1419142551</v>
      </c>
      <c r="AB28" s="3">
        <f t="shared" ca="1" si="8"/>
        <v>-621000</v>
      </c>
      <c r="AC28" s="3">
        <f t="shared" ca="1" si="8"/>
        <v>-621000</v>
      </c>
      <c r="AD28" s="3">
        <f t="shared" ca="1" si="8"/>
        <v>-621000</v>
      </c>
      <c r="AE28" s="3">
        <f t="shared" ca="1" si="8"/>
        <v>-621000</v>
      </c>
      <c r="AF28" s="3">
        <f t="shared" ca="1" si="8"/>
        <v>-621000</v>
      </c>
      <c r="AG28" s="3">
        <f t="shared" ca="1" si="8"/>
        <v>-621000</v>
      </c>
      <c r="AH28" s="3">
        <f t="shared" ca="1" si="8"/>
        <v>-675000</v>
      </c>
      <c r="AI28" s="3">
        <f t="shared" ca="1" si="8"/>
        <v>-729000</v>
      </c>
      <c r="AJ28" s="3">
        <f t="shared" ca="1" si="8"/>
        <v>-772200</v>
      </c>
      <c r="AK28" s="3">
        <f t="shared" ca="1" si="8"/>
        <v>-869400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5" t="s">
        <v>199</v>
      </c>
    </row>
    <row r="32" spans="1:69" outlineLevel="1">
      <c r="E32" s="2" t="str">
        <f t="shared" ref="E32:BQ32" si="9" xml:space="preserve">  E$40</f>
        <v>Invoice finance interest POS</v>
      </c>
      <c r="F32" s="2">
        <f t="shared" si="9"/>
        <v>0</v>
      </c>
      <c r="G32" s="2" t="str">
        <f t="shared" si="9"/>
        <v>GBP</v>
      </c>
      <c r="H32" s="2">
        <f t="shared" ca="1" si="9"/>
        <v>171477.53581682761</v>
      </c>
      <c r="I32" s="2">
        <f t="shared" si="9"/>
        <v>0</v>
      </c>
      <c r="J32" s="2">
        <f t="shared" si="9"/>
        <v>0</v>
      </c>
      <c r="K32" s="2">
        <f t="shared" ca="1" si="9"/>
        <v>0</v>
      </c>
      <c r="L32" s="2">
        <f t="shared" ca="1" si="9"/>
        <v>225</v>
      </c>
      <c r="M32" s="2">
        <f t="shared" ca="1" si="9"/>
        <v>540</v>
      </c>
      <c r="N32" s="2">
        <f t="shared" ca="1" si="9"/>
        <v>720</v>
      </c>
      <c r="O32" s="2">
        <f t="shared" ca="1" si="9"/>
        <v>900</v>
      </c>
      <c r="P32" s="2">
        <f t="shared" ca="1" si="9"/>
        <v>1170</v>
      </c>
      <c r="Q32" s="2">
        <f t="shared" ca="1" si="9"/>
        <v>1710</v>
      </c>
      <c r="R32" s="2">
        <f t="shared" ca="1" si="9"/>
        <v>2340</v>
      </c>
      <c r="S32" s="2">
        <f t="shared" ca="1" si="9"/>
        <v>2880</v>
      </c>
      <c r="T32" s="2">
        <f t="shared" ca="1" si="9"/>
        <v>3150</v>
      </c>
      <c r="U32" s="2">
        <f t="shared" ca="1" si="9"/>
        <v>4050</v>
      </c>
      <c r="V32" s="2">
        <f t="shared" ca="1" si="9"/>
        <v>4950</v>
      </c>
      <c r="W32" s="2">
        <f t="shared" ca="1" si="9"/>
        <v>5850</v>
      </c>
      <c r="X32" s="2">
        <f t="shared" ca="1" si="9"/>
        <v>7406.758392461682</v>
      </c>
      <c r="Y32" s="2">
        <f t="shared" ca="1" si="9"/>
        <v>8306.7583924616829</v>
      </c>
      <c r="Z32" s="2">
        <f t="shared" ca="1" si="9"/>
        <v>9347.0095159521261</v>
      </c>
      <c r="AA32" s="2">
        <f t="shared" ca="1" si="9"/>
        <v>10247.009515952126</v>
      </c>
      <c r="AB32" s="2">
        <f t="shared" ca="1" si="9"/>
        <v>10350</v>
      </c>
      <c r="AC32" s="2">
        <f t="shared" ca="1" si="9"/>
        <v>10350</v>
      </c>
      <c r="AD32" s="2">
        <f t="shared" ca="1" si="9"/>
        <v>10350</v>
      </c>
      <c r="AE32" s="2">
        <f t="shared" ca="1" si="9"/>
        <v>10350</v>
      </c>
      <c r="AF32" s="2">
        <f t="shared" ca="1" si="9"/>
        <v>10350</v>
      </c>
      <c r="AG32" s="2">
        <f t="shared" ca="1" si="9"/>
        <v>10800</v>
      </c>
      <c r="AH32" s="2">
        <f t="shared" ca="1" si="9"/>
        <v>11700</v>
      </c>
      <c r="AI32" s="2">
        <f t="shared" ca="1" si="9"/>
        <v>12510</v>
      </c>
      <c r="AJ32" s="2">
        <f t="shared" ca="1" si="9"/>
        <v>13680</v>
      </c>
      <c r="AK32" s="2">
        <f t="shared" ca="1" si="9"/>
        <v>7245</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171477.53581682761</v>
      </c>
      <c r="I33" s="2">
        <f t="shared" si="10"/>
        <v>0</v>
      </c>
      <c r="J33" s="2">
        <f t="shared" si="10"/>
        <v>0</v>
      </c>
      <c r="K33" s="2">
        <f t="shared" ca="1" si="10"/>
        <v>0</v>
      </c>
      <c r="L33" s="2">
        <f t="shared" ca="1" si="10"/>
        <v>225</v>
      </c>
      <c r="M33" s="2">
        <f t="shared" ca="1" si="10"/>
        <v>540</v>
      </c>
      <c r="N33" s="2">
        <f t="shared" ca="1" si="10"/>
        <v>720</v>
      </c>
      <c r="O33" s="2">
        <f t="shared" ca="1" si="10"/>
        <v>900</v>
      </c>
      <c r="P33" s="2">
        <f t="shared" ca="1" si="10"/>
        <v>1170</v>
      </c>
      <c r="Q33" s="2">
        <f t="shared" ca="1" si="10"/>
        <v>1710</v>
      </c>
      <c r="R33" s="2">
        <f t="shared" ca="1" si="10"/>
        <v>2340</v>
      </c>
      <c r="S33" s="2">
        <f t="shared" ca="1" si="10"/>
        <v>2880</v>
      </c>
      <c r="T33" s="2">
        <f t="shared" ca="1" si="10"/>
        <v>3150</v>
      </c>
      <c r="U33" s="2">
        <f t="shared" ca="1" si="10"/>
        <v>4050</v>
      </c>
      <c r="V33" s="2">
        <f t="shared" ca="1" si="10"/>
        <v>4950</v>
      </c>
      <c r="W33" s="2">
        <f t="shared" ca="1" si="10"/>
        <v>5850</v>
      </c>
      <c r="X33" s="2">
        <f t="shared" ca="1" si="10"/>
        <v>7406.758392461682</v>
      </c>
      <c r="Y33" s="2">
        <f t="shared" ca="1" si="10"/>
        <v>8306.7583924616829</v>
      </c>
      <c r="Z33" s="2">
        <f t="shared" ca="1" si="10"/>
        <v>9347.0095159521261</v>
      </c>
      <c r="AA33" s="2">
        <f t="shared" ca="1" si="10"/>
        <v>10247.009515952126</v>
      </c>
      <c r="AB33" s="2">
        <f t="shared" ca="1" si="10"/>
        <v>10350</v>
      </c>
      <c r="AC33" s="2">
        <f t="shared" ca="1" si="10"/>
        <v>10350</v>
      </c>
      <c r="AD33" s="2">
        <f t="shared" ca="1" si="10"/>
        <v>10350</v>
      </c>
      <c r="AE33" s="2">
        <f t="shared" ca="1" si="10"/>
        <v>10350</v>
      </c>
      <c r="AF33" s="2">
        <f t="shared" ca="1" si="10"/>
        <v>10350</v>
      </c>
      <c r="AG33" s="2">
        <f t="shared" ca="1" si="10"/>
        <v>10800</v>
      </c>
      <c r="AH33" s="2">
        <f t="shared" ca="1" si="10"/>
        <v>11700</v>
      </c>
      <c r="AI33" s="2">
        <f t="shared" ca="1" si="10"/>
        <v>12510</v>
      </c>
      <c r="AJ33" s="2">
        <f t="shared" ca="1" si="10"/>
        <v>13680</v>
      </c>
      <c r="AK33" s="2">
        <f t="shared" ca="1" si="10"/>
        <v>7245</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7" t="s">
        <v>199</v>
      </c>
      <c r="G34" s="47" t="s">
        <v>258</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5" t="s">
        <v>132</v>
      </c>
    </row>
    <row r="38" spans="1:69" outlineLevel="1">
      <c r="E38" s="57" t="str">
        <f t="shared" ref="E38:G38" si="12" xml:space="preserve">  E$54</f>
        <v>Invoice finance period interest rate</v>
      </c>
      <c r="F38" s="57">
        <f t="shared" si="12"/>
        <v>8.3333333333333332E-3</v>
      </c>
      <c r="G38" s="57" t="str">
        <f t="shared" si="12"/>
        <v>%</v>
      </c>
      <c r="M38" s="57"/>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27000</v>
      </c>
      <c r="M39" s="2">
        <f t="shared" ca="1" si="13"/>
        <v>64800</v>
      </c>
      <c r="N39" s="2">
        <f t="shared" ca="1" si="13"/>
        <v>86400</v>
      </c>
      <c r="O39" s="2">
        <f t="shared" ca="1" si="13"/>
        <v>108000</v>
      </c>
      <c r="P39" s="2">
        <f t="shared" ca="1" si="13"/>
        <v>140400</v>
      </c>
      <c r="Q39" s="2">
        <f t="shared" ca="1" si="13"/>
        <v>205200</v>
      </c>
      <c r="R39" s="2">
        <f t="shared" ca="1" si="13"/>
        <v>280800</v>
      </c>
      <c r="S39" s="2">
        <f t="shared" ca="1" si="13"/>
        <v>345600</v>
      </c>
      <c r="T39" s="2">
        <f t="shared" ca="1" si="13"/>
        <v>378000</v>
      </c>
      <c r="U39" s="2">
        <f t="shared" ca="1" si="13"/>
        <v>486000</v>
      </c>
      <c r="V39" s="2">
        <f t="shared" ca="1" si="13"/>
        <v>594000</v>
      </c>
      <c r="W39" s="2">
        <f t="shared" ca="1" si="13"/>
        <v>702000</v>
      </c>
      <c r="X39" s="2">
        <f t="shared" ca="1" si="13"/>
        <v>888811.00709540187</v>
      </c>
      <c r="Y39" s="2">
        <f t="shared" ca="1" si="13"/>
        <v>996811.00709540187</v>
      </c>
      <c r="Z39" s="2">
        <f t="shared" ca="1" si="13"/>
        <v>1121641.1419142552</v>
      </c>
      <c r="AA39" s="2">
        <f t="shared" ca="1" si="13"/>
        <v>1229641.1419142552</v>
      </c>
      <c r="AB39" s="2">
        <f t="shared" ca="1" si="13"/>
        <v>1242000</v>
      </c>
      <c r="AC39" s="2">
        <f t="shared" ca="1" si="13"/>
        <v>1242000</v>
      </c>
      <c r="AD39" s="2">
        <f t="shared" ca="1" si="13"/>
        <v>1242000</v>
      </c>
      <c r="AE39" s="2">
        <f t="shared" ca="1" si="13"/>
        <v>1242000</v>
      </c>
      <c r="AF39" s="2">
        <f t="shared" ca="1" si="13"/>
        <v>1242000</v>
      </c>
      <c r="AG39" s="2">
        <f t="shared" ca="1" si="13"/>
        <v>1296000</v>
      </c>
      <c r="AH39" s="2">
        <f t="shared" ca="1" si="13"/>
        <v>1404000</v>
      </c>
      <c r="AI39" s="2">
        <f t="shared" ca="1" si="13"/>
        <v>1501200</v>
      </c>
      <c r="AJ39" s="2">
        <f t="shared" ca="1" si="13"/>
        <v>1641600</v>
      </c>
      <c r="AK39" s="2">
        <f t="shared" ca="1" si="13"/>
        <v>869400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7" t="s">
        <v>250</v>
      </c>
      <c r="G40" s="47" t="s">
        <v>258</v>
      </c>
      <c r="H40" s="2">
        <f t="shared" ref="H40:H41" ca="1" si="14" xml:space="preserve"> SUM( J40:BQ40 )</f>
        <v>171477.53581682761</v>
      </c>
      <c r="J40" s="2">
        <f t="shared" ref="J40:BQ40" si="15" xml:space="preserve">  $F38 * J39</f>
        <v>0</v>
      </c>
      <c r="K40" s="2">
        <f t="shared" ca="1" si="15"/>
        <v>0</v>
      </c>
      <c r="L40" s="2">
        <f t="shared" ca="1" si="15"/>
        <v>225</v>
      </c>
      <c r="M40" s="2">
        <f t="shared" ca="1" si="15"/>
        <v>540</v>
      </c>
      <c r="N40" s="2">
        <f t="shared" ca="1" si="15"/>
        <v>720</v>
      </c>
      <c r="O40" s="2">
        <f t="shared" ca="1" si="15"/>
        <v>900</v>
      </c>
      <c r="P40" s="2">
        <f t="shared" ca="1" si="15"/>
        <v>1170</v>
      </c>
      <c r="Q40" s="2">
        <f t="shared" ca="1" si="15"/>
        <v>1710</v>
      </c>
      <c r="R40" s="2">
        <f t="shared" ca="1" si="15"/>
        <v>2340</v>
      </c>
      <c r="S40" s="2">
        <f t="shared" ca="1" si="15"/>
        <v>2880</v>
      </c>
      <c r="T40" s="2">
        <f t="shared" ca="1" si="15"/>
        <v>3150</v>
      </c>
      <c r="U40" s="2">
        <f t="shared" ca="1" si="15"/>
        <v>4050</v>
      </c>
      <c r="V40" s="2">
        <f t="shared" ca="1" si="15"/>
        <v>4950</v>
      </c>
      <c r="W40" s="2">
        <f t="shared" ca="1" si="15"/>
        <v>5850</v>
      </c>
      <c r="X40" s="2">
        <f t="shared" ca="1" si="15"/>
        <v>7406.758392461682</v>
      </c>
      <c r="Y40" s="2">
        <f t="shared" ca="1" si="15"/>
        <v>8306.7583924616829</v>
      </c>
      <c r="Z40" s="2">
        <f t="shared" ca="1" si="15"/>
        <v>9347.0095159521261</v>
      </c>
      <c r="AA40" s="2">
        <f t="shared" ca="1" si="15"/>
        <v>10247.009515952126</v>
      </c>
      <c r="AB40" s="2">
        <f t="shared" ca="1" si="15"/>
        <v>10350</v>
      </c>
      <c r="AC40" s="2">
        <f t="shared" ca="1" si="15"/>
        <v>10350</v>
      </c>
      <c r="AD40" s="2">
        <f t="shared" ca="1" si="15"/>
        <v>10350</v>
      </c>
      <c r="AE40" s="2">
        <f t="shared" ca="1" si="15"/>
        <v>10350</v>
      </c>
      <c r="AF40" s="2">
        <f t="shared" ca="1" si="15"/>
        <v>10350</v>
      </c>
      <c r="AG40" s="2">
        <f t="shared" ca="1" si="15"/>
        <v>10800</v>
      </c>
      <c r="AH40" s="2">
        <f t="shared" ca="1" si="15"/>
        <v>11700</v>
      </c>
      <c r="AI40" s="2">
        <f t="shared" ca="1" si="15"/>
        <v>12510</v>
      </c>
      <c r="AJ40" s="2">
        <f t="shared" ca="1" si="15"/>
        <v>13680</v>
      </c>
      <c r="AK40" s="2">
        <f t="shared" ca="1" si="15"/>
        <v>7245</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4"/>
      <c r="B41" s="34"/>
      <c r="C41" s="64"/>
      <c r="D41" s="65"/>
      <c r="E41" s="21" t="str">
        <f xml:space="preserve"> LEFT($E$40, LEN($E$40) - 3 )</f>
        <v xml:space="preserve">Invoice finance interest </v>
      </c>
      <c r="F41" s="21"/>
      <c r="G41" s="21" t="str">
        <f xml:space="preserve"> G$40</f>
        <v>GBP</v>
      </c>
      <c r="H41" s="3">
        <f t="shared" ca="1" si="14"/>
        <v>-171477.53581682761</v>
      </c>
      <c r="I41" s="21"/>
      <c r="J41" s="3">
        <f t="shared" ref="J41:BQ41" si="16" xml:space="preserve"> -1 * J40</f>
        <v>0</v>
      </c>
      <c r="K41" s="3">
        <f t="shared" ca="1" si="16"/>
        <v>0</v>
      </c>
      <c r="L41" s="3">
        <f t="shared" ca="1" si="16"/>
        <v>-225</v>
      </c>
      <c r="M41" s="3">
        <f t="shared" ca="1" si="16"/>
        <v>-540</v>
      </c>
      <c r="N41" s="3">
        <f t="shared" ca="1" si="16"/>
        <v>-720</v>
      </c>
      <c r="O41" s="3">
        <f t="shared" ca="1" si="16"/>
        <v>-900</v>
      </c>
      <c r="P41" s="3">
        <f t="shared" ca="1" si="16"/>
        <v>-1170</v>
      </c>
      <c r="Q41" s="3">
        <f t="shared" ca="1" si="16"/>
        <v>-1710</v>
      </c>
      <c r="R41" s="3">
        <f t="shared" ca="1" si="16"/>
        <v>-2340</v>
      </c>
      <c r="S41" s="3">
        <f t="shared" ca="1" si="16"/>
        <v>-2880</v>
      </c>
      <c r="T41" s="3">
        <f t="shared" ca="1" si="16"/>
        <v>-3150</v>
      </c>
      <c r="U41" s="3">
        <f t="shared" ca="1" si="16"/>
        <v>-4050</v>
      </c>
      <c r="V41" s="3">
        <f t="shared" ca="1" si="16"/>
        <v>-4950</v>
      </c>
      <c r="W41" s="3">
        <f t="shared" ca="1" si="16"/>
        <v>-5850</v>
      </c>
      <c r="X41" s="3">
        <f t="shared" ca="1" si="16"/>
        <v>-7406.758392461682</v>
      </c>
      <c r="Y41" s="3">
        <f t="shared" ca="1" si="16"/>
        <v>-8306.7583924616829</v>
      </c>
      <c r="Z41" s="3">
        <f t="shared" ca="1" si="16"/>
        <v>-9347.0095159521261</v>
      </c>
      <c r="AA41" s="3">
        <f t="shared" ca="1" si="16"/>
        <v>-10247.009515952126</v>
      </c>
      <c r="AB41" s="3">
        <f t="shared" ca="1" si="16"/>
        <v>-10350</v>
      </c>
      <c r="AC41" s="3">
        <f t="shared" ca="1" si="16"/>
        <v>-10350</v>
      </c>
      <c r="AD41" s="3">
        <f t="shared" ca="1" si="16"/>
        <v>-10350</v>
      </c>
      <c r="AE41" s="3">
        <f t="shared" ca="1" si="16"/>
        <v>-10350</v>
      </c>
      <c r="AF41" s="3">
        <f t="shared" ca="1" si="16"/>
        <v>-10350</v>
      </c>
      <c r="AG41" s="3">
        <f t="shared" ca="1" si="16"/>
        <v>-10800</v>
      </c>
      <c r="AH41" s="3">
        <f t="shared" ca="1" si="16"/>
        <v>-11700</v>
      </c>
      <c r="AI41" s="3">
        <f t="shared" ca="1" si="16"/>
        <v>-12510</v>
      </c>
      <c r="AJ41" s="3">
        <f t="shared" ca="1" si="16"/>
        <v>-13680</v>
      </c>
      <c r="AK41" s="3">
        <f t="shared" ca="1" si="16"/>
        <v>-7245</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5" t="s">
        <v>133</v>
      </c>
    </row>
    <row r="45" spans="1:69" outlineLevel="1">
      <c r="E45" s="2" t="str">
        <f t="shared" ref="E45:BQ45" si="17" xml:space="preserve">  E$40</f>
        <v>Invoice finance interest POS</v>
      </c>
      <c r="F45" s="2">
        <f t="shared" si="17"/>
        <v>0</v>
      </c>
      <c r="G45" s="2" t="str">
        <f t="shared" si="17"/>
        <v>GBP</v>
      </c>
      <c r="H45" s="2">
        <f t="shared" ca="1" si="17"/>
        <v>171477.53581682761</v>
      </c>
      <c r="I45" s="2">
        <f t="shared" si="17"/>
        <v>0</v>
      </c>
      <c r="J45" s="2">
        <f t="shared" si="17"/>
        <v>0</v>
      </c>
      <c r="K45" s="2">
        <f t="shared" ca="1" si="17"/>
        <v>0</v>
      </c>
      <c r="L45" s="2">
        <f t="shared" ca="1" si="17"/>
        <v>225</v>
      </c>
      <c r="M45" s="2">
        <f t="shared" ca="1" si="17"/>
        <v>540</v>
      </c>
      <c r="N45" s="2">
        <f t="shared" ca="1" si="17"/>
        <v>720</v>
      </c>
      <c r="O45" s="2">
        <f t="shared" ca="1" si="17"/>
        <v>900</v>
      </c>
      <c r="P45" s="2">
        <f t="shared" ca="1" si="17"/>
        <v>1170</v>
      </c>
      <c r="Q45" s="2">
        <f t="shared" ca="1" si="17"/>
        <v>1710</v>
      </c>
      <c r="R45" s="2">
        <f t="shared" ca="1" si="17"/>
        <v>2340</v>
      </c>
      <c r="S45" s="2">
        <f t="shared" ca="1" si="17"/>
        <v>2880</v>
      </c>
      <c r="T45" s="2">
        <f t="shared" ca="1" si="17"/>
        <v>3150</v>
      </c>
      <c r="U45" s="2">
        <f t="shared" ca="1" si="17"/>
        <v>4050</v>
      </c>
      <c r="V45" s="2">
        <f t="shared" ca="1" si="17"/>
        <v>4950</v>
      </c>
      <c r="W45" s="2">
        <f t="shared" ca="1" si="17"/>
        <v>5850</v>
      </c>
      <c r="X45" s="2">
        <f t="shared" ca="1" si="17"/>
        <v>7406.758392461682</v>
      </c>
      <c r="Y45" s="2">
        <f t="shared" ca="1" si="17"/>
        <v>8306.7583924616829</v>
      </c>
      <c r="Z45" s="2">
        <f t="shared" ca="1" si="17"/>
        <v>9347.0095159521261</v>
      </c>
      <c r="AA45" s="2">
        <f t="shared" ca="1" si="17"/>
        <v>10247.009515952126</v>
      </c>
      <c r="AB45" s="2">
        <f t="shared" ca="1" si="17"/>
        <v>10350</v>
      </c>
      <c r="AC45" s="2">
        <f t="shared" ca="1" si="17"/>
        <v>10350</v>
      </c>
      <c r="AD45" s="2">
        <f t="shared" ca="1" si="17"/>
        <v>10350</v>
      </c>
      <c r="AE45" s="2">
        <f t="shared" ca="1" si="17"/>
        <v>10350</v>
      </c>
      <c r="AF45" s="2">
        <f t="shared" ca="1" si="17"/>
        <v>10350</v>
      </c>
      <c r="AG45" s="2">
        <f t="shared" ca="1" si="17"/>
        <v>10800</v>
      </c>
      <c r="AH45" s="2">
        <f t="shared" ca="1" si="17"/>
        <v>11700</v>
      </c>
      <c r="AI45" s="2">
        <f t="shared" ca="1" si="17"/>
        <v>12510</v>
      </c>
      <c r="AJ45" s="2">
        <f t="shared" ca="1" si="17"/>
        <v>13680</v>
      </c>
      <c r="AK45" s="2">
        <f t="shared" ca="1" si="17"/>
        <v>7245</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7" t="s">
        <v>116</v>
      </c>
      <c r="G46" s="47" t="s">
        <v>258</v>
      </c>
      <c r="H46" s="2">
        <f t="shared" ref="H46:H47" ca="1" si="18" xml:space="preserve"> SUM( J46:BQ46 )</f>
        <v>171477.53581682761</v>
      </c>
      <c r="J46" s="2">
        <f t="shared" ref="J46:BQ46" si="19" xml:space="preserve">  J45</f>
        <v>0</v>
      </c>
      <c r="K46" s="2">
        <f t="shared" ca="1" si="19"/>
        <v>0</v>
      </c>
      <c r="L46" s="2">
        <f t="shared" ca="1" si="19"/>
        <v>225</v>
      </c>
      <c r="M46" s="2">
        <f t="shared" ca="1" si="19"/>
        <v>540</v>
      </c>
      <c r="N46" s="2">
        <f t="shared" ca="1" si="19"/>
        <v>720</v>
      </c>
      <c r="O46" s="2">
        <f t="shared" ca="1" si="19"/>
        <v>900</v>
      </c>
      <c r="P46" s="2">
        <f t="shared" ca="1" si="19"/>
        <v>1170</v>
      </c>
      <c r="Q46" s="2">
        <f t="shared" ca="1" si="19"/>
        <v>1710</v>
      </c>
      <c r="R46" s="2">
        <f t="shared" ca="1" si="19"/>
        <v>2340</v>
      </c>
      <c r="S46" s="2">
        <f t="shared" ca="1" si="19"/>
        <v>2880</v>
      </c>
      <c r="T46" s="2">
        <f t="shared" ca="1" si="19"/>
        <v>3150</v>
      </c>
      <c r="U46" s="2">
        <f t="shared" ca="1" si="19"/>
        <v>4050</v>
      </c>
      <c r="V46" s="2">
        <f t="shared" ca="1" si="19"/>
        <v>4950</v>
      </c>
      <c r="W46" s="2">
        <f t="shared" ca="1" si="19"/>
        <v>5850</v>
      </c>
      <c r="X46" s="2">
        <f t="shared" ca="1" si="19"/>
        <v>7406.758392461682</v>
      </c>
      <c r="Y46" s="2">
        <f t="shared" ca="1" si="19"/>
        <v>8306.7583924616829</v>
      </c>
      <c r="Z46" s="2">
        <f t="shared" ca="1" si="19"/>
        <v>9347.0095159521261</v>
      </c>
      <c r="AA46" s="2">
        <f t="shared" ca="1" si="19"/>
        <v>10247.009515952126</v>
      </c>
      <c r="AB46" s="2">
        <f t="shared" ca="1" si="19"/>
        <v>10350</v>
      </c>
      <c r="AC46" s="2">
        <f t="shared" ca="1" si="19"/>
        <v>10350</v>
      </c>
      <c r="AD46" s="2">
        <f t="shared" ca="1" si="19"/>
        <v>10350</v>
      </c>
      <c r="AE46" s="2">
        <f t="shared" ca="1" si="19"/>
        <v>10350</v>
      </c>
      <c r="AF46" s="2">
        <f t="shared" ca="1" si="19"/>
        <v>10350</v>
      </c>
      <c r="AG46" s="2">
        <f t="shared" ca="1" si="19"/>
        <v>10800</v>
      </c>
      <c r="AH46" s="2">
        <f t="shared" ca="1" si="19"/>
        <v>11700</v>
      </c>
      <c r="AI46" s="2">
        <f t="shared" ca="1" si="19"/>
        <v>12510</v>
      </c>
      <c r="AJ46" s="2">
        <f t="shared" ca="1" si="19"/>
        <v>13680</v>
      </c>
      <c r="AK46" s="2">
        <f t="shared" ca="1" si="19"/>
        <v>7245</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4"/>
      <c r="B47" s="34"/>
      <c r="C47" s="64"/>
      <c r="D47" s="65"/>
      <c r="E47" s="21" t="str">
        <f xml:space="preserve"> LEFT($E$46, LEN($E$46) - 3 )</f>
        <v xml:space="preserve">Invoice finance interest paid </v>
      </c>
      <c r="F47" s="21"/>
      <c r="G47" s="21" t="str">
        <f xml:space="preserve"> G$46</f>
        <v>GBP</v>
      </c>
      <c r="H47" s="3">
        <f t="shared" ca="1" si="18"/>
        <v>-171477.53581682761</v>
      </c>
      <c r="I47" s="21"/>
      <c r="J47" s="3">
        <f t="shared" ref="J47:BQ47" si="20" xml:space="preserve"> -1 * J46</f>
        <v>0</v>
      </c>
      <c r="K47" s="3">
        <f t="shared" ca="1" si="20"/>
        <v>0</v>
      </c>
      <c r="L47" s="3">
        <f t="shared" ca="1" si="20"/>
        <v>-225</v>
      </c>
      <c r="M47" s="3">
        <f t="shared" ca="1" si="20"/>
        <v>-540</v>
      </c>
      <c r="N47" s="3">
        <f t="shared" ca="1" si="20"/>
        <v>-720</v>
      </c>
      <c r="O47" s="3">
        <f t="shared" ca="1" si="20"/>
        <v>-900</v>
      </c>
      <c r="P47" s="3">
        <f t="shared" ca="1" si="20"/>
        <v>-1170</v>
      </c>
      <c r="Q47" s="3">
        <f t="shared" ca="1" si="20"/>
        <v>-1710</v>
      </c>
      <c r="R47" s="3">
        <f t="shared" ca="1" si="20"/>
        <v>-2340</v>
      </c>
      <c r="S47" s="3">
        <f t="shared" ca="1" si="20"/>
        <v>-2880</v>
      </c>
      <c r="T47" s="3">
        <f t="shared" ca="1" si="20"/>
        <v>-3150</v>
      </c>
      <c r="U47" s="3">
        <f t="shared" ca="1" si="20"/>
        <v>-4050</v>
      </c>
      <c r="V47" s="3">
        <f t="shared" ca="1" si="20"/>
        <v>-4950</v>
      </c>
      <c r="W47" s="3">
        <f t="shared" ca="1" si="20"/>
        <v>-5850</v>
      </c>
      <c r="X47" s="3">
        <f t="shared" ca="1" si="20"/>
        <v>-7406.758392461682</v>
      </c>
      <c r="Y47" s="3">
        <f t="shared" ca="1" si="20"/>
        <v>-8306.7583924616829</v>
      </c>
      <c r="Z47" s="3">
        <f t="shared" ca="1" si="20"/>
        <v>-9347.0095159521261</v>
      </c>
      <c r="AA47" s="3">
        <f t="shared" ca="1" si="20"/>
        <v>-10247.009515952126</v>
      </c>
      <c r="AB47" s="3">
        <f t="shared" ca="1" si="20"/>
        <v>-10350</v>
      </c>
      <c r="AC47" s="3">
        <f t="shared" ca="1" si="20"/>
        <v>-10350</v>
      </c>
      <c r="AD47" s="3">
        <f t="shared" ca="1" si="20"/>
        <v>-10350</v>
      </c>
      <c r="AE47" s="3">
        <f t="shared" ca="1" si="20"/>
        <v>-10350</v>
      </c>
      <c r="AF47" s="3">
        <f t="shared" ca="1" si="20"/>
        <v>-10350</v>
      </c>
      <c r="AG47" s="3">
        <f t="shared" ca="1" si="20"/>
        <v>-10800</v>
      </c>
      <c r="AH47" s="3">
        <f t="shared" ca="1" si="20"/>
        <v>-11700</v>
      </c>
      <c r="AI47" s="3">
        <f t="shared" ca="1" si="20"/>
        <v>-12510</v>
      </c>
      <c r="AJ47" s="3">
        <f t="shared" ca="1" si="20"/>
        <v>-13680</v>
      </c>
      <c r="AK47" s="3">
        <f t="shared" ca="1" si="20"/>
        <v>-7245</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5" t="s">
        <v>35</v>
      </c>
    </row>
    <row r="51" spans="1:13" outlineLevel="1">
      <c r="A51" s="18"/>
      <c r="B51" s="18"/>
      <c r="C51" s="28"/>
      <c r="D51" s="27"/>
      <c r="E51" s="42" t="str">
        <f xml:space="preserve">  InpC!E$63</f>
        <v>All in Invoice Finance annual interest rate</v>
      </c>
      <c r="F51" s="42">
        <f xml:space="preserve">  InpC!F$63</f>
        <v>0.1</v>
      </c>
      <c r="G51" s="42" t="str">
        <f xml:space="preserve">  InpC!G$63</f>
        <v>%</v>
      </c>
      <c r="M51" s="57"/>
    </row>
    <row r="52" spans="1:13" outlineLevel="1">
      <c r="A52" s="18"/>
      <c r="B52" s="18"/>
      <c r="C52" s="28"/>
      <c r="D52" s="27"/>
      <c r="E52" s="4" t="str">
        <f xml:space="preserve">  InpC!E$57</f>
        <v>debt day count convention</v>
      </c>
      <c r="F52" s="4">
        <f xml:space="preserve">  InpC!F$57</f>
        <v>360</v>
      </c>
      <c r="G52" s="4" t="str">
        <f xml:space="preserve">  InpC!G$57</f>
        <v>day</v>
      </c>
      <c r="M52" s="2"/>
    </row>
    <row r="53" spans="1:13" outlineLevel="1">
      <c r="A53" s="18"/>
      <c r="B53" s="18"/>
      <c r="C53" s="28"/>
      <c r="D53" s="27"/>
      <c r="E53" s="4" t="str">
        <f xml:space="preserve">  InpC!E$56</f>
        <v>Days in period</v>
      </c>
      <c r="F53" s="4">
        <f xml:space="preserve">  InpC!F$56</f>
        <v>30</v>
      </c>
      <c r="G53" s="4" t="str">
        <f xml:space="preserve">  InpC!G$56</f>
        <v>day</v>
      </c>
      <c r="M53" s="2"/>
    </row>
    <row r="54" spans="1:13" outlineLevel="1">
      <c r="E54" s="47" t="s">
        <v>35</v>
      </c>
      <c r="F54" s="57">
        <f xml:space="preserve">  $F51 / $F52 * $F53</f>
        <v>8.3333333333333332E-3</v>
      </c>
      <c r="G54" s="47" t="s">
        <v>208</v>
      </c>
      <c r="M54" s="57"/>
    </row>
    <row r="57" spans="1:13">
      <c r="B57" s="25" t="s">
        <v>271</v>
      </c>
    </row>
  </sheetData>
  <conditionalFormatting sqref="F3">
    <cfRule type="cellIs" dxfId="248" priority="13" stopIfTrue="1" operator="notEqual">
      <formula>0</formula>
    </cfRule>
    <cfRule type="cellIs" dxfId="247" priority="14" stopIfTrue="1" operator="equal">
      <formula>""</formula>
    </cfRule>
  </conditionalFormatting>
  <conditionalFormatting sqref="J3:BQ3">
    <cfRule type="cellIs" dxfId="246" priority="11" stopIfTrue="1" operator="equal">
      <formula>"Construction"</formula>
    </cfRule>
    <cfRule type="cellIs" dxfId="245" priority="12" stopIfTrue="1" operator="equal">
      <formula>"Operations"</formula>
    </cfRule>
  </conditionalFormatting>
  <conditionalFormatting sqref="J3:BQ3">
    <cfRule type="cellIs" dxfId="244" priority="10" operator="equal">
      <formula>"Fin Close"</formula>
    </cfRule>
  </conditionalFormatting>
  <conditionalFormatting sqref="J3:BQ3">
    <cfRule type="cellIs" dxfId="243" priority="8" operator="equal">
      <formula>"PPA ext."</formula>
    </cfRule>
    <cfRule type="cellIs" dxfId="242" priority="9" operator="equal">
      <formula>"Delay"</formula>
    </cfRule>
  </conditionalFormatting>
  <conditionalFormatting sqref="F2">
    <cfRule type="cellIs" dxfId="241" priority="1" stopIfTrue="1" operator="notEqual">
      <formula>0</formula>
    </cfRule>
    <cfRule type="cellIs" dxfId="240"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9.55468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Supply Chain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134</v>
      </c>
    </row>
    <row r="9" spans="1:69" s="82" customFormat="1">
      <c r="A9" s="59"/>
      <c r="B9" s="59"/>
      <c r="C9" s="87"/>
      <c r="D9" s="84"/>
      <c r="E9" s="40" t="str">
        <f xml:space="preserve">  InpC!E$69</f>
        <v>Opening Supply Chain Finance balance</v>
      </c>
      <c r="F9" s="40">
        <f xml:space="preserve">  InpC!F$69</f>
        <v>0</v>
      </c>
      <c r="G9" s="40" t="str">
        <f xml:space="preserve">  InpC!G$69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349</v>
      </c>
      <c r="G11" s="47" t="s">
        <v>258</v>
      </c>
      <c r="J11" s="2">
        <f t="shared" ref="J11:BQ11" si="0" xml:space="preserve">  I15</f>
        <v>0</v>
      </c>
      <c r="K11" s="2">
        <f t="shared" ca="1" si="0"/>
        <v>0</v>
      </c>
      <c r="L11" s="2">
        <f t="shared" ca="1" si="0"/>
        <v>0</v>
      </c>
      <c r="M11" s="2">
        <f t="shared" ca="1" si="0"/>
        <v>280000</v>
      </c>
      <c r="N11" s="2">
        <f t="shared" ca="1" si="0"/>
        <v>560000</v>
      </c>
      <c r="O11" s="2">
        <f t="shared" ca="1" si="0"/>
        <v>840000</v>
      </c>
      <c r="P11" s="2">
        <f t="shared" ca="1" si="0"/>
        <v>840000</v>
      </c>
      <c r="Q11" s="2">
        <f t="shared" ca="1" si="0"/>
        <v>1120000</v>
      </c>
      <c r="R11" s="2">
        <f t="shared" ca="1" si="0"/>
        <v>1120000</v>
      </c>
      <c r="S11" s="2">
        <f t="shared" ca="1" si="0"/>
        <v>1120000</v>
      </c>
      <c r="T11" s="2">
        <f t="shared" ca="1" si="0"/>
        <v>840000</v>
      </c>
      <c r="U11" s="2">
        <f t="shared" ca="1" si="0"/>
        <v>560000</v>
      </c>
      <c r="V11" s="2">
        <f t="shared" ca="1" si="0"/>
        <v>560000</v>
      </c>
      <c r="W11" s="2">
        <f t="shared" ca="1" si="0"/>
        <v>280000</v>
      </c>
      <c r="X11" s="2">
        <f t="shared" ca="1" si="0"/>
        <v>280000</v>
      </c>
      <c r="Y11" s="2">
        <f t="shared" ca="1" si="0"/>
        <v>0</v>
      </c>
      <c r="Z11" s="2">
        <f t="shared" ca="1" si="0"/>
        <v>140000</v>
      </c>
      <c r="AA11" s="2">
        <f t="shared" ca="1" si="0"/>
        <v>280000</v>
      </c>
      <c r="AB11" s="2">
        <f t="shared" ca="1" si="0"/>
        <v>420000</v>
      </c>
      <c r="AC11" s="2">
        <f t="shared" ca="1" si="0"/>
        <v>700000</v>
      </c>
      <c r="AD11" s="2">
        <f t="shared" ca="1" si="0"/>
        <v>980000</v>
      </c>
      <c r="AE11" s="2">
        <f t="shared" ca="1" si="0"/>
        <v>1120000</v>
      </c>
      <c r="AF11" s="2">
        <f t="shared" ca="1" si="0"/>
        <v>1260000</v>
      </c>
      <c r="AG11" s="2">
        <f t="shared" ca="1" si="0"/>
        <v>1400000</v>
      </c>
      <c r="AH11" s="2">
        <f t="shared" ca="1" si="0"/>
        <v>1540000</v>
      </c>
      <c r="AI11" s="2">
        <f t="shared" ca="1" si="0"/>
        <v>1540000</v>
      </c>
      <c r="AJ11" s="2">
        <f t="shared" ca="1" si="0"/>
        <v>1680000</v>
      </c>
      <c r="AK11" s="2">
        <f t="shared" ca="1" si="0"/>
        <v>1540000</v>
      </c>
      <c r="AL11" s="2">
        <f t="shared" ca="1" si="0"/>
        <v>1260000</v>
      </c>
      <c r="AM11" s="2">
        <f t="shared" ca="1" si="0"/>
        <v>980000</v>
      </c>
      <c r="AN11" s="2">
        <f t="shared" ca="1" si="0"/>
        <v>700000</v>
      </c>
      <c r="AO11" s="2">
        <f t="shared" ca="1" si="0"/>
        <v>420000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91" t="s">
        <v>219</v>
      </c>
      <c r="E12" s="2" t="str">
        <f t="shared" ref="E12:BQ12" si="1" xml:space="preserve">  E$22</f>
        <v>Supply Chain Finance drawdown</v>
      </c>
      <c r="F12" s="2">
        <f t="shared" si="1"/>
        <v>0</v>
      </c>
      <c r="G12" s="2" t="str">
        <f t="shared" si="1"/>
        <v>GBP</v>
      </c>
      <c r="H12" s="2">
        <f t="shared" ca="1" si="1"/>
        <v>4060000</v>
      </c>
      <c r="I12" s="2">
        <f t="shared" si="1"/>
        <v>0</v>
      </c>
      <c r="J12" s="2">
        <f t="shared" si="1"/>
        <v>0</v>
      </c>
      <c r="K12" s="2">
        <f t="shared" si="1"/>
        <v>0</v>
      </c>
      <c r="L12" s="2">
        <f t="shared" si="1"/>
        <v>280000</v>
      </c>
      <c r="M12" s="2">
        <f t="shared" si="1"/>
        <v>280000</v>
      </c>
      <c r="N12" s="2">
        <f t="shared" si="1"/>
        <v>280000</v>
      </c>
      <c r="O12" s="2">
        <f t="shared" si="1"/>
        <v>0</v>
      </c>
      <c r="P12" s="2">
        <f t="shared" si="1"/>
        <v>280000</v>
      </c>
      <c r="Q12" s="2">
        <f t="shared" si="1"/>
        <v>0</v>
      </c>
      <c r="R12" s="2">
        <f t="shared" si="1"/>
        <v>280000</v>
      </c>
      <c r="S12" s="2">
        <f t="shared" si="1"/>
        <v>0</v>
      </c>
      <c r="T12" s="2">
        <f t="shared" si="1"/>
        <v>0</v>
      </c>
      <c r="U12" s="2">
        <f t="shared" si="1"/>
        <v>0</v>
      </c>
      <c r="V12" s="2">
        <f t="shared" ca="1" si="1"/>
        <v>0</v>
      </c>
      <c r="W12" s="2">
        <f t="shared" ca="1" si="1"/>
        <v>0</v>
      </c>
      <c r="X12" s="2">
        <f t="shared" ca="1" si="1"/>
        <v>0</v>
      </c>
      <c r="Y12" s="2">
        <f t="shared" ca="1" si="1"/>
        <v>140000</v>
      </c>
      <c r="Z12" s="2">
        <f t="shared" ca="1" si="1"/>
        <v>140000</v>
      </c>
      <c r="AA12" s="2">
        <f t="shared" ca="1" si="1"/>
        <v>140000</v>
      </c>
      <c r="AB12" s="2">
        <f t="shared" ca="1" si="1"/>
        <v>280000</v>
      </c>
      <c r="AC12" s="2">
        <f t="shared" ca="1" si="1"/>
        <v>280000</v>
      </c>
      <c r="AD12" s="2">
        <f t="shared" ca="1" si="1"/>
        <v>140000</v>
      </c>
      <c r="AE12" s="2">
        <f t="shared" ca="1" si="1"/>
        <v>280000</v>
      </c>
      <c r="AF12" s="2">
        <f t="shared" ca="1" si="1"/>
        <v>280000</v>
      </c>
      <c r="AG12" s="2">
        <f t="shared" ca="1" si="1"/>
        <v>280000</v>
      </c>
      <c r="AH12" s="2">
        <f t="shared" ca="1" si="1"/>
        <v>280000</v>
      </c>
      <c r="AI12" s="2">
        <f t="shared" ca="1" si="1"/>
        <v>420000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Supply Chain Finance principal repayment POS</v>
      </c>
      <c r="F14" s="2">
        <f t="shared" si="3"/>
        <v>0</v>
      </c>
      <c r="G14" s="2" t="str">
        <f t="shared" si="3"/>
        <v>GBP</v>
      </c>
      <c r="H14" s="2">
        <f t="shared" ca="1" si="3"/>
        <v>4060000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280000</v>
      </c>
      <c r="S14" s="2">
        <f t="shared" ca="1" si="3"/>
        <v>280000</v>
      </c>
      <c r="T14" s="2">
        <f t="shared" ca="1" si="3"/>
        <v>280000</v>
      </c>
      <c r="U14" s="2">
        <f t="shared" ca="1" si="3"/>
        <v>0</v>
      </c>
      <c r="V14" s="2">
        <f t="shared" ca="1" si="3"/>
        <v>280000</v>
      </c>
      <c r="W14" s="2">
        <f t="shared" ca="1" si="3"/>
        <v>0</v>
      </c>
      <c r="X14" s="2">
        <f t="shared" ca="1" si="3"/>
        <v>280000</v>
      </c>
      <c r="Y14" s="2">
        <f t="shared" ca="1" si="3"/>
        <v>0</v>
      </c>
      <c r="Z14" s="2">
        <f t="shared" ca="1" si="3"/>
        <v>0</v>
      </c>
      <c r="AA14" s="2">
        <f t="shared" ca="1" si="3"/>
        <v>0</v>
      </c>
      <c r="AB14" s="2">
        <f t="shared" ca="1" si="3"/>
        <v>0</v>
      </c>
      <c r="AC14" s="2">
        <f t="shared" ca="1" si="3"/>
        <v>0</v>
      </c>
      <c r="AD14" s="2">
        <f t="shared" ca="1" si="3"/>
        <v>0</v>
      </c>
      <c r="AE14" s="2">
        <f t="shared" ca="1" si="3"/>
        <v>140000</v>
      </c>
      <c r="AF14" s="2">
        <f t="shared" ca="1" si="3"/>
        <v>140000</v>
      </c>
      <c r="AG14" s="2">
        <f t="shared" ca="1" si="3"/>
        <v>140000</v>
      </c>
      <c r="AH14" s="2">
        <f t="shared" ca="1" si="3"/>
        <v>280000</v>
      </c>
      <c r="AI14" s="2">
        <f t="shared" ca="1" si="3"/>
        <v>280000</v>
      </c>
      <c r="AJ14" s="2">
        <f t="shared" ca="1" si="3"/>
        <v>140000</v>
      </c>
      <c r="AK14" s="2">
        <f t="shared" ca="1" si="3"/>
        <v>280000</v>
      </c>
      <c r="AL14" s="2">
        <f t="shared" ca="1" si="3"/>
        <v>280000</v>
      </c>
      <c r="AM14" s="2">
        <f t="shared" ca="1" si="3"/>
        <v>280000</v>
      </c>
      <c r="AN14" s="2">
        <f t="shared" ca="1" si="3"/>
        <v>280000</v>
      </c>
      <c r="AO14" s="2">
        <f t="shared" ca="1" si="3"/>
        <v>420000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1" customFormat="1">
      <c r="A15" s="63"/>
      <c r="B15" s="63"/>
      <c r="C15" s="88"/>
      <c r="D15" s="90"/>
      <c r="E15" s="33" t="s">
        <v>134</v>
      </c>
      <c r="F15" s="33"/>
      <c r="G15" s="33" t="s">
        <v>258</v>
      </c>
      <c r="H15" s="33"/>
      <c r="I15" s="11">
        <f t="shared" ref="I15:BQ15" si="4" xml:space="preserve">  IF( I10 = 0, $F9, I11 + I12 + I13 - I14 )</f>
        <v>0</v>
      </c>
      <c r="J15" s="11">
        <f t="shared" ca="1" si="4"/>
        <v>0</v>
      </c>
      <c r="K15" s="11">
        <f t="shared" ca="1" si="4"/>
        <v>0</v>
      </c>
      <c r="L15" s="11">
        <f t="shared" ca="1" si="4"/>
        <v>280000</v>
      </c>
      <c r="M15" s="11">
        <f t="shared" ca="1" si="4"/>
        <v>560000</v>
      </c>
      <c r="N15" s="11">
        <f t="shared" ca="1" si="4"/>
        <v>840000</v>
      </c>
      <c r="O15" s="11">
        <f t="shared" ca="1" si="4"/>
        <v>840000</v>
      </c>
      <c r="P15" s="11">
        <f t="shared" ca="1" si="4"/>
        <v>1120000</v>
      </c>
      <c r="Q15" s="11">
        <f t="shared" ca="1" si="4"/>
        <v>1120000</v>
      </c>
      <c r="R15" s="11">
        <f t="shared" ca="1" si="4"/>
        <v>1120000</v>
      </c>
      <c r="S15" s="11">
        <f t="shared" ca="1" si="4"/>
        <v>840000</v>
      </c>
      <c r="T15" s="11">
        <f t="shared" ca="1" si="4"/>
        <v>560000</v>
      </c>
      <c r="U15" s="11">
        <f t="shared" ca="1" si="4"/>
        <v>560000</v>
      </c>
      <c r="V15" s="11">
        <f t="shared" ca="1" si="4"/>
        <v>280000</v>
      </c>
      <c r="W15" s="11">
        <f t="shared" ca="1" si="4"/>
        <v>280000</v>
      </c>
      <c r="X15" s="11">
        <f t="shared" ca="1" si="4"/>
        <v>0</v>
      </c>
      <c r="Y15" s="11">
        <f t="shared" ca="1" si="4"/>
        <v>140000</v>
      </c>
      <c r="Z15" s="11">
        <f t="shared" ca="1" si="4"/>
        <v>280000</v>
      </c>
      <c r="AA15" s="11">
        <f t="shared" ca="1" si="4"/>
        <v>420000</v>
      </c>
      <c r="AB15" s="11">
        <f t="shared" ca="1" si="4"/>
        <v>700000</v>
      </c>
      <c r="AC15" s="11">
        <f t="shared" ca="1" si="4"/>
        <v>980000</v>
      </c>
      <c r="AD15" s="11">
        <f t="shared" ca="1" si="4"/>
        <v>1120000</v>
      </c>
      <c r="AE15" s="11">
        <f t="shared" ca="1" si="4"/>
        <v>1260000</v>
      </c>
      <c r="AF15" s="11">
        <f t="shared" ca="1" si="4"/>
        <v>1400000</v>
      </c>
      <c r="AG15" s="11">
        <f t="shared" ca="1" si="4"/>
        <v>1540000</v>
      </c>
      <c r="AH15" s="11">
        <f t="shared" ca="1" si="4"/>
        <v>1540000</v>
      </c>
      <c r="AI15" s="11">
        <f t="shared" ca="1" si="4"/>
        <v>1680000</v>
      </c>
      <c r="AJ15" s="11">
        <f t="shared" ca="1" si="4"/>
        <v>1540000</v>
      </c>
      <c r="AK15" s="11">
        <f t="shared" ca="1" si="4"/>
        <v>1260000</v>
      </c>
      <c r="AL15" s="11">
        <f t="shared" ca="1" si="4"/>
        <v>980000</v>
      </c>
      <c r="AM15" s="11">
        <f t="shared" ca="1" si="4"/>
        <v>700000</v>
      </c>
      <c r="AN15" s="11">
        <f t="shared" ca="1" si="4"/>
        <v>420000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5" t="s">
        <v>14</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InpC!E$71</f>
        <v>Supply Chain Finance Advance %</v>
      </c>
      <c r="F19" s="42">
        <f xml:space="preserve">  InpC!F$71</f>
        <v>0.8</v>
      </c>
      <c r="G19" s="42" t="str">
        <f xml:space="preserve">  InpC!G$71</f>
        <v>%</v>
      </c>
      <c r="M19" s="57"/>
    </row>
    <row r="20" spans="1:69" outlineLevel="1">
      <c r="A20" s="18"/>
      <c r="B20" s="18"/>
      <c r="C20" s="28"/>
      <c r="D20" s="27"/>
      <c r="E20" s="4" t="str">
        <f xml:space="preserve">  Inventory!E$33</f>
        <v>Units ordered</v>
      </c>
      <c r="F20" s="4">
        <f xml:space="preserve">  Inventory!F$33</f>
        <v>0</v>
      </c>
      <c r="G20" s="4" t="str">
        <f xml:space="preserve">  Inventory!G$33</f>
        <v>Units</v>
      </c>
      <c r="H20" s="4">
        <f ca="1" xml:space="preserve">  Inventory!H$33</f>
        <v>1640000</v>
      </c>
      <c r="I20" s="4">
        <f xml:space="preserve">  Inventory!I$33</f>
        <v>0</v>
      </c>
      <c r="J20" s="4">
        <f xml:space="preserve">  Inventory!J$33</f>
        <v>0</v>
      </c>
      <c r="K20" s="4">
        <f xml:space="preserve">  Inventory!K$33</f>
        <v>0</v>
      </c>
      <c r="L20" s="4">
        <f xml:space="preserve">  Inventory!L$33</f>
        <v>10000</v>
      </c>
      <c r="M20" s="4">
        <f xml:space="preserve">  Inventory!M$33</f>
        <v>10000</v>
      </c>
      <c r="N20" s="4">
        <f xml:space="preserve">  Inventory!N$33</f>
        <v>10000</v>
      </c>
      <c r="O20" s="4">
        <f xml:space="preserve">  Inventory!O$33</f>
        <v>0</v>
      </c>
      <c r="P20" s="4">
        <f xml:space="preserve">  Inventory!P$33</f>
        <v>10000</v>
      </c>
      <c r="Q20" s="4">
        <f xml:space="preserve">  Inventory!Q$33</f>
        <v>0</v>
      </c>
      <c r="R20" s="4">
        <f xml:space="preserve">  Inventory!R$33</f>
        <v>10000</v>
      </c>
      <c r="S20" s="4">
        <f xml:space="preserve">  Inventory!S$33</f>
        <v>0</v>
      </c>
      <c r="T20" s="4">
        <f xml:space="preserve">  Inventory!T$33</f>
        <v>0</v>
      </c>
      <c r="U20" s="4">
        <f xml:space="preserve">  Inventory!U$33</f>
        <v>0</v>
      </c>
      <c r="V20" s="4">
        <f ca="1" xml:space="preserve">  Inventory!V$33</f>
        <v>0</v>
      </c>
      <c r="W20" s="4">
        <f ca="1" xml:space="preserve">  Inventory!W$33</f>
        <v>0</v>
      </c>
      <c r="X20" s="4">
        <f ca="1" xml:space="preserve">  Inventory!X$33</f>
        <v>0</v>
      </c>
      <c r="Y20" s="4">
        <f ca="1" xml:space="preserve">  Inventory!Y$33</f>
        <v>5000</v>
      </c>
      <c r="Z20" s="4">
        <f ca="1" xml:space="preserve">  Inventory!Z$33</f>
        <v>5000</v>
      </c>
      <c r="AA20" s="4">
        <f ca="1" xml:space="preserve">  Inventory!AA$33</f>
        <v>5000</v>
      </c>
      <c r="AB20" s="4">
        <f ca="1" xml:space="preserve">  Inventory!AB$33</f>
        <v>10000</v>
      </c>
      <c r="AC20" s="4">
        <f ca="1" xml:space="preserve">  Inventory!AC$33</f>
        <v>10000</v>
      </c>
      <c r="AD20" s="4">
        <f ca="1" xml:space="preserve">  Inventory!AD$33</f>
        <v>5000</v>
      </c>
      <c r="AE20" s="4">
        <f ca="1" xml:space="preserve">  Inventory!AE$33</f>
        <v>10000</v>
      </c>
      <c r="AF20" s="4">
        <f ca="1" xml:space="preserve">  Inventory!AF$33</f>
        <v>10000</v>
      </c>
      <c r="AG20" s="4">
        <f ca="1" xml:space="preserve">  Inventory!AG$33</f>
        <v>10000</v>
      </c>
      <c r="AH20" s="4">
        <f ca="1" xml:space="preserve">  Inventory!AH$33</f>
        <v>10000</v>
      </c>
      <c r="AI20" s="4">
        <f ca="1" xml:space="preserve">  Inventory!AI$33</f>
        <v>15000</v>
      </c>
      <c r="AJ20" s="4">
        <f ca="1" xml:space="preserve">  Inventory!AJ$33</f>
        <v>10000</v>
      </c>
      <c r="AK20" s="4">
        <f ca="1" xml:space="preserve">  Inventory!AK$33</f>
        <v>15000</v>
      </c>
      <c r="AL20" s="4">
        <f ca="1" xml:space="preserve">  Inventory!AL$33</f>
        <v>15000</v>
      </c>
      <c r="AM20" s="4">
        <f ca="1" xml:space="preserve">  Inventory!AM$33</f>
        <v>15000</v>
      </c>
      <c r="AN20" s="4">
        <f ca="1" xml:space="preserve">  Inventory!AN$33</f>
        <v>20000</v>
      </c>
      <c r="AO20" s="4">
        <f ca="1" xml:space="preserve">  Inventory!AO$33</f>
        <v>20000</v>
      </c>
      <c r="AP20" s="4">
        <f ca="1" xml:space="preserve">  Inventory!AP$33</f>
        <v>20000</v>
      </c>
      <c r="AQ20" s="4">
        <f ca="1" xml:space="preserve">  Inventory!AQ$33</f>
        <v>25000</v>
      </c>
      <c r="AR20" s="4">
        <f ca="1" xml:space="preserve">  Inventory!AR$33</f>
        <v>20000</v>
      </c>
      <c r="AS20" s="4">
        <f ca="1" xml:space="preserve">  Inventory!AS$33</f>
        <v>25000</v>
      </c>
      <c r="AT20" s="4">
        <f ca="1" xml:space="preserve">  Inventory!AT$33</f>
        <v>30000</v>
      </c>
      <c r="AU20" s="4">
        <f ca="1" xml:space="preserve">  Inventory!AU$33</f>
        <v>25000</v>
      </c>
      <c r="AV20" s="4">
        <f ca="1" xml:space="preserve">  Inventory!AV$33</f>
        <v>30000</v>
      </c>
      <c r="AW20" s="4">
        <f ca="1" xml:space="preserve">  Inventory!AW$33</f>
        <v>30000</v>
      </c>
      <c r="AX20" s="4">
        <f ca="1" xml:space="preserve">  Inventory!AX$33</f>
        <v>35000</v>
      </c>
      <c r="AY20" s="4">
        <f ca="1" xml:space="preserve">  Inventory!AY$33</f>
        <v>35000</v>
      </c>
      <c r="AZ20" s="4">
        <f ca="1" xml:space="preserve">  Inventory!AZ$33</f>
        <v>35000</v>
      </c>
      <c r="BA20" s="4">
        <f ca="1" xml:space="preserve">  Inventory!BA$33</f>
        <v>40000</v>
      </c>
      <c r="BB20" s="4">
        <f ca="1" xml:space="preserve">  Inventory!BB$33</f>
        <v>40000</v>
      </c>
      <c r="BC20" s="4">
        <f ca="1" xml:space="preserve">  Inventory!BC$33</f>
        <v>45000</v>
      </c>
      <c r="BD20" s="4">
        <f ca="1" xml:space="preserve">  Inventory!BD$33</f>
        <v>45000</v>
      </c>
      <c r="BE20" s="4">
        <f ca="1" xml:space="preserve">  Inventory!BE$33</f>
        <v>50000</v>
      </c>
      <c r="BF20" s="4">
        <f ca="1" xml:space="preserve">  Inventory!BF$33</f>
        <v>50000</v>
      </c>
      <c r="BG20" s="4">
        <f ca="1" xml:space="preserve">  Inventory!BG$33</f>
        <v>55000</v>
      </c>
      <c r="BH20" s="4">
        <f ca="1" xml:space="preserve">  Inventory!BH$33</f>
        <v>60000</v>
      </c>
      <c r="BI20" s="4">
        <f ca="1" xml:space="preserve">  Inventory!BI$33</f>
        <v>60000</v>
      </c>
      <c r="BJ20" s="4">
        <f ca="1" xml:space="preserve">  Inventory!BJ$33</f>
        <v>65000</v>
      </c>
      <c r="BK20" s="4">
        <f ca="1" xml:space="preserve">  Inventory!BK$33</f>
        <v>70000</v>
      </c>
      <c r="BL20" s="4">
        <f ca="1" xml:space="preserve">  Inventory!BL$33</f>
        <v>75000</v>
      </c>
      <c r="BM20" s="4">
        <f ca="1" xml:space="preserve">  Inventory!BM$33</f>
        <v>75000</v>
      </c>
      <c r="BN20" s="4">
        <f ca="1" xml:space="preserve">  Inventory!BN$33</f>
        <v>85000</v>
      </c>
      <c r="BO20" s="4">
        <f ca="1" xml:space="preserve">  Inventory!BO$33</f>
        <v>85000</v>
      </c>
      <c r="BP20" s="4">
        <f ca="1" xml:space="preserve">  Inventory!BP$33</f>
        <v>95000</v>
      </c>
      <c r="BQ20" s="4">
        <f ca="1" xml:space="preserve">  Inventory!BQ$33</f>
        <v>95000</v>
      </c>
    </row>
    <row r="21" spans="1:69" outlineLevel="1">
      <c r="A21" s="18"/>
      <c r="B21" s="18"/>
      <c r="C21" s="28"/>
      <c r="D21" s="27"/>
      <c r="E21" s="4" t="str">
        <f xml:space="preserve">  Time!E$235</f>
        <v>Supply Chain Finance enabled flag</v>
      </c>
      <c r="F21" s="4">
        <f xml:space="preserve">  Time!F$235</f>
        <v>0</v>
      </c>
      <c r="G21" s="4" t="str">
        <f xml:space="preserve">  Time!G$235</f>
        <v>flag</v>
      </c>
      <c r="H21" s="4">
        <f xml:space="preserve">  Time!H$235</f>
        <v>25</v>
      </c>
      <c r="I21" s="4">
        <f xml:space="preserve">  Time!I$235</f>
        <v>0</v>
      </c>
      <c r="J21" s="4">
        <f xml:space="preserve">  Time!J$235</f>
        <v>0</v>
      </c>
      <c r="K21" s="4">
        <f xml:space="preserve">  Time!K$235</f>
        <v>1</v>
      </c>
      <c r="L21" s="4">
        <f xml:space="preserve">  Time!L$235</f>
        <v>1</v>
      </c>
      <c r="M21" s="4">
        <f xml:space="preserve">  Time!M$235</f>
        <v>1</v>
      </c>
      <c r="N21" s="4">
        <f xml:space="preserve">  Time!N$235</f>
        <v>1</v>
      </c>
      <c r="O21" s="4">
        <f xml:space="preserve">  Time!O$235</f>
        <v>1</v>
      </c>
      <c r="P21" s="4">
        <f xml:space="preserve">  Time!P$235</f>
        <v>1</v>
      </c>
      <c r="Q21" s="4">
        <f xml:space="preserve">  Time!Q$235</f>
        <v>1</v>
      </c>
      <c r="R21" s="4">
        <f xml:space="preserve">  Time!R$235</f>
        <v>1</v>
      </c>
      <c r="S21" s="4">
        <f xml:space="preserve">  Time!S$235</f>
        <v>1</v>
      </c>
      <c r="T21" s="4">
        <f xml:space="preserve">  Time!T$235</f>
        <v>1</v>
      </c>
      <c r="U21" s="4">
        <f xml:space="preserve">  Time!U$235</f>
        <v>1</v>
      </c>
      <c r="V21" s="4">
        <f xml:space="preserve">  Time!V$235</f>
        <v>1</v>
      </c>
      <c r="W21" s="4">
        <f xml:space="preserve">  Time!W$235</f>
        <v>1</v>
      </c>
      <c r="X21" s="4">
        <f xml:space="preserve">  Time!X$235</f>
        <v>1</v>
      </c>
      <c r="Y21" s="4">
        <f xml:space="preserve">  Time!Y$235</f>
        <v>1</v>
      </c>
      <c r="Z21" s="4">
        <f xml:space="preserve">  Time!Z$235</f>
        <v>1</v>
      </c>
      <c r="AA21" s="4">
        <f xml:space="preserve">  Time!AA$235</f>
        <v>1</v>
      </c>
      <c r="AB21" s="4">
        <f xml:space="preserve">  Time!AB$235</f>
        <v>1</v>
      </c>
      <c r="AC21" s="4">
        <f xml:space="preserve">  Time!AC$235</f>
        <v>1</v>
      </c>
      <c r="AD21" s="4">
        <f xml:space="preserve">  Time!AD$235</f>
        <v>1</v>
      </c>
      <c r="AE21" s="4">
        <f xml:space="preserve">  Time!AE$235</f>
        <v>1</v>
      </c>
      <c r="AF21" s="4">
        <f xml:space="preserve">  Time!AF$235</f>
        <v>1</v>
      </c>
      <c r="AG21" s="4">
        <f xml:space="preserve">  Time!AG$235</f>
        <v>1</v>
      </c>
      <c r="AH21" s="4">
        <f xml:space="preserve">  Time!AH$235</f>
        <v>1</v>
      </c>
      <c r="AI21" s="4">
        <f xml:space="preserve">  Time!AI$235</f>
        <v>1</v>
      </c>
      <c r="AJ21" s="4">
        <f xml:space="preserve">  Time!AJ$235</f>
        <v>0</v>
      </c>
      <c r="AK21" s="4">
        <f xml:space="preserve">  Time!AK$235</f>
        <v>0</v>
      </c>
      <c r="AL21" s="4">
        <f xml:space="preserve">  Time!AL$235</f>
        <v>0</v>
      </c>
      <c r="AM21" s="4">
        <f xml:space="preserve">  Time!AM$235</f>
        <v>0</v>
      </c>
      <c r="AN21" s="4">
        <f xml:space="preserve">  Time!AN$235</f>
        <v>0</v>
      </c>
      <c r="AO21" s="4">
        <f xml:space="preserve">  Time!AO$235</f>
        <v>0</v>
      </c>
      <c r="AP21" s="4">
        <f xml:space="preserve">  Time!AP$235</f>
        <v>0</v>
      </c>
      <c r="AQ21" s="4">
        <f xml:space="preserve">  Time!AQ$235</f>
        <v>0</v>
      </c>
      <c r="AR21" s="4">
        <f xml:space="preserve">  Time!AR$235</f>
        <v>0</v>
      </c>
      <c r="AS21" s="4">
        <f xml:space="preserve">  Time!AS$235</f>
        <v>0</v>
      </c>
      <c r="AT21" s="4">
        <f xml:space="preserve">  Time!AT$235</f>
        <v>0</v>
      </c>
      <c r="AU21" s="4">
        <f xml:space="preserve">  Time!AU$235</f>
        <v>0</v>
      </c>
      <c r="AV21" s="4">
        <f xml:space="preserve">  Time!AV$235</f>
        <v>0</v>
      </c>
      <c r="AW21" s="4">
        <f xml:space="preserve">  Time!AW$235</f>
        <v>0</v>
      </c>
      <c r="AX21" s="4">
        <f xml:space="preserve">  Time!AX$235</f>
        <v>0</v>
      </c>
      <c r="AY21" s="4">
        <f xml:space="preserve">  Time!AY$235</f>
        <v>0</v>
      </c>
      <c r="AZ21" s="4">
        <f xml:space="preserve">  Time!AZ$235</f>
        <v>0</v>
      </c>
      <c r="BA21" s="4">
        <f xml:space="preserve">  Time!BA$235</f>
        <v>0</v>
      </c>
      <c r="BB21" s="4">
        <f xml:space="preserve">  Time!BB$235</f>
        <v>0</v>
      </c>
      <c r="BC21" s="4">
        <f xml:space="preserve">  Time!BC$235</f>
        <v>0</v>
      </c>
      <c r="BD21" s="4">
        <f xml:space="preserve">  Time!BD$235</f>
        <v>0</v>
      </c>
      <c r="BE21" s="4">
        <f xml:space="preserve">  Time!BE$235</f>
        <v>0</v>
      </c>
      <c r="BF21" s="4">
        <f xml:space="preserve">  Time!BF$235</f>
        <v>0</v>
      </c>
      <c r="BG21" s="4">
        <f xml:space="preserve">  Time!BG$235</f>
        <v>0</v>
      </c>
      <c r="BH21" s="4">
        <f xml:space="preserve">  Time!BH$235</f>
        <v>0</v>
      </c>
      <c r="BI21" s="4">
        <f xml:space="preserve">  Time!BI$235</f>
        <v>0</v>
      </c>
      <c r="BJ21" s="4">
        <f xml:space="preserve">  Time!BJ$235</f>
        <v>0</v>
      </c>
      <c r="BK21" s="4">
        <f xml:space="preserve">  Time!BK$235</f>
        <v>0</v>
      </c>
      <c r="BL21" s="4">
        <f xml:space="preserve">  Time!BL$235</f>
        <v>0</v>
      </c>
      <c r="BM21" s="4">
        <f xml:space="preserve">  Time!BM$235</f>
        <v>0</v>
      </c>
      <c r="BN21" s="4">
        <f xml:space="preserve">  Time!BN$235</f>
        <v>0</v>
      </c>
      <c r="BO21" s="4">
        <f xml:space="preserve">  Time!BO$235</f>
        <v>0</v>
      </c>
      <c r="BP21" s="4">
        <f xml:space="preserve">  Time!BP$235</f>
        <v>0</v>
      </c>
      <c r="BQ21" s="4">
        <f xml:space="preserve">  Time!BQ$235</f>
        <v>0</v>
      </c>
    </row>
    <row r="22" spans="1:69" outlineLevel="1">
      <c r="A22" s="34"/>
      <c r="B22" s="34"/>
      <c r="C22" s="64"/>
      <c r="D22" s="65"/>
      <c r="E22" s="21" t="s">
        <v>14</v>
      </c>
      <c r="F22" s="21"/>
      <c r="G22" s="21" t="s">
        <v>258</v>
      </c>
      <c r="H22" s="3">
        <f ca="1" xml:space="preserve"> SUM( J22:BQ22 )</f>
        <v>4060000</v>
      </c>
      <c r="I22" s="21"/>
      <c r="J22" s="3">
        <f t="shared" ref="J22:BQ22" si="5" xml:space="preserve">  J21 * ( J20 * $F18 * $F19 )</f>
        <v>0</v>
      </c>
      <c r="K22" s="3">
        <f t="shared" si="5"/>
        <v>0</v>
      </c>
      <c r="L22" s="3">
        <f t="shared" si="5"/>
        <v>280000</v>
      </c>
      <c r="M22" s="3">
        <f t="shared" si="5"/>
        <v>280000</v>
      </c>
      <c r="N22" s="3">
        <f t="shared" si="5"/>
        <v>280000</v>
      </c>
      <c r="O22" s="3">
        <f t="shared" si="5"/>
        <v>0</v>
      </c>
      <c r="P22" s="3">
        <f t="shared" si="5"/>
        <v>280000</v>
      </c>
      <c r="Q22" s="3">
        <f t="shared" si="5"/>
        <v>0</v>
      </c>
      <c r="R22" s="3">
        <f t="shared" si="5"/>
        <v>280000</v>
      </c>
      <c r="S22" s="3">
        <f t="shared" si="5"/>
        <v>0</v>
      </c>
      <c r="T22" s="3">
        <f t="shared" si="5"/>
        <v>0</v>
      </c>
      <c r="U22" s="3">
        <f t="shared" si="5"/>
        <v>0</v>
      </c>
      <c r="V22" s="3">
        <f t="shared" ca="1" si="5"/>
        <v>0</v>
      </c>
      <c r="W22" s="3">
        <f t="shared" ca="1" si="5"/>
        <v>0</v>
      </c>
      <c r="X22" s="3">
        <f t="shared" ca="1" si="5"/>
        <v>0</v>
      </c>
      <c r="Y22" s="3">
        <f t="shared" ca="1" si="5"/>
        <v>140000</v>
      </c>
      <c r="Z22" s="3">
        <f t="shared" ca="1" si="5"/>
        <v>140000</v>
      </c>
      <c r="AA22" s="3">
        <f t="shared" ca="1" si="5"/>
        <v>140000</v>
      </c>
      <c r="AB22" s="3">
        <f t="shared" ca="1" si="5"/>
        <v>280000</v>
      </c>
      <c r="AC22" s="3">
        <f t="shared" ca="1" si="5"/>
        <v>280000</v>
      </c>
      <c r="AD22" s="3">
        <f t="shared" ca="1" si="5"/>
        <v>140000</v>
      </c>
      <c r="AE22" s="3">
        <f t="shared" ca="1" si="5"/>
        <v>280000</v>
      </c>
      <c r="AF22" s="3">
        <f t="shared" ca="1" si="5"/>
        <v>280000</v>
      </c>
      <c r="AG22" s="3">
        <f t="shared" ca="1" si="5"/>
        <v>280000</v>
      </c>
      <c r="AH22" s="3">
        <f t="shared" ca="1" si="5"/>
        <v>280000</v>
      </c>
      <c r="AI22" s="3">
        <f t="shared" ca="1" si="5"/>
        <v>420000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112</v>
      </c>
    </row>
    <row r="26" spans="1:69" outlineLevel="1">
      <c r="A26" s="18"/>
      <c r="B26" s="18"/>
      <c r="C26" s="28"/>
      <c r="D26" s="27"/>
      <c r="E26" s="4" t="str">
        <f xml:space="preserve">  InpC!E$33</f>
        <v>Order lead time (months)</v>
      </c>
      <c r="F26" s="4">
        <f xml:space="preserve">  InpC!F$33</f>
        <v>6</v>
      </c>
      <c r="G26" s="4" t="str">
        <f xml:space="preserve">  InpC!G$33</f>
        <v>Months</v>
      </c>
      <c r="M26" s="2"/>
    </row>
    <row r="27" spans="1:69" outlineLevel="1">
      <c r="E27" s="2" t="str">
        <f t="shared" ref="E27:BQ27" si="6" xml:space="preserve">  E$22</f>
        <v>Supply Chain Finance drawdown</v>
      </c>
      <c r="F27" s="2">
        <f t="shared" si="6"/>
        <v>0</v>
      </c>
      <c r="G27" s="2" t="str">
        <f t="shared" si="6"/>
        <v>GBP</v>
      </c>
      <c r="H27" s="2">
        <f t="shared" ca="1" si="6"/>
        <v>4060000</v>
      </c>
      <c r="I27" s="2">
        <f t="shared" si="6"/>
        <v>0</v>
      </c>
      <c r="J27" s="2">
        <f t="shared" si="6"/>
        <v>0</v>
      </c>
      <c r="K27" s="2">
        <f t="shared" si="6"/>
        <v>0</v>
      </c>
      <c r="L27" s="2">
        <f t="shared" si="6"/>
        <v>280000</v>
      </c>
      <c r="M27" s="2">
        <f t="shared" si="6"/>
        <v>280000</v>
      </c>
      <c r="N27" s="2">
        <f t="shared" si="6"/>
        <v>280000</v>
      </c>
      <c r="O27" s="2">
        <f t="shared" si="6"/>
        <v>0</v>
      </c>
      <c r="P27" s="2">
        <f t="shared" si="6"/>
        <v>280000</v>
      </c>
      <c r="Q27" s="2">
        <f t="shared" si="6"/>
        <v>0</v>
      </c>
      <c r="R27" s="2">
        <f t="shared" si="6"/>
        <v>280000</v>
      </c>
      <c r="S27" s="2">
        <f t="shared" si="6"/>
        <v>0</v>
      </c>
      <c r="T27" s="2">
        <f t="shared" si="6"/>
        <v>0</v>
      </c>
      <c r="U27" s="2">
        <f t="shared" si="6"/>
        <v>0</v>
      </c>
      <c r="V27" s="2">
        <f t="shared" ca="1" si="6"/>
        <v>0</v>
      </c>
      <c r="W27" s="2">
        <f t="shared" ca="1" si="6"/>
        <v>0</v>
      </c>
      <c r="X27" s="2">
        <f t="shared" ca="1" si="6"/>
        <v>0</v>
      </c>
      <c r="Y27" s="2">
        <f t="shared" ca="1" si="6"/>
        <v>140000</v>
      </c>
      <c r="Z27" s="2">
        <f t="shared" ca="1" si="6"/>
        <v>140000</v>
      </c>
      <c r="AA27" s="2">
        <f t="shared" ca="1" si="6"/>
        <v>140000</v>
      </c>
      <c r="AB27" s="2">
        <f t="shared" ca="1" si="6"/>
        <v>280000</v>
      </c>
      <c r="AC27" s="2">
        <f t="shared" ca="1" si="6"/>
        <v>280000</v>
      </c>
      <c r="AD27" s="2">
        <f t="shared" ca="1" si="6"/>
        <v>140000</v>
      </c>
      <c r="AE27" s="2">
        <f t="shared" ca="1" si="6"/>
        <v>280000</v>
      </c>
      <c r="AF27" s="2">
        <f t="shared" ca="1" si="6"/>
        <v>280000</v>
      </c>
      <c r="AG27" s="2">
        <f t="shared" ca="1" si="6"/>
        <v>280000</v>
      </c>
      <c r="AH27" s="2">
        <f t="shared" ca="1" si="6"/>
        <v>280000</v>
      </c>
      <c r="AI27" s="2">
        <f t="shared" ca="1" si="6"/>
        <v>420000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7" t="s">
        <v>183</v>
      </c>
      <c r="G28" s="47" t="s">
        <v>258</v>
      </c>
      <c r="H28" s="2">
        <f t="shared" ref="H28:H29" ca="1" si="7" xml:space="preserve"> SUM( J28:BQ28 )</f>
        <v>4060000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280000</v>
      </c>
      <c r="S28" s="2">
        <f ca="1" xml:space="preserve">  IF( Time!S28 &lt; 1 + $F26, 0, OFFSET( S27, 0, - 1 * ( $F26 ) ) )</f>
        <v>280000</v>
      </c>
      <c r="T28" s="2">
        <f ca="1" xml:space="preserve">  IF( Time!T28 &lt; 1 + $F26, 0, OFFSET( T27, 0, - 1 * ( $F26 ) ) )</f>
        <v>280000</v>
      </c>
      <c r="U28" s="2">
        <f ca="1" xml:space="preserve">  IF( Time!U28 &lt; 1 + $F26, 0, OFFSET( U27, 0, - 1 * ( $F26 ) ) )</f>
        <v>0</v>
      </c>
      <c r="V28" s="2">
        <f ca="1" xml:space="preserve">  IF( Time!V28 &lt; 1 + $F26, 0, OFFSET( V27, 0, - 1 * ( $F26 ) ) )</f>
        <v>280000</v>
      </c>
      <c r="W28" s="2">
        <f ca="1" xml:space="preserve">  IF( Time!W28 &lt; 1 + $F26, 0, OFFSET( W27, 0, - 1 * ( $F26 ) ) )</f>
        <v>0</v>
      </c>
      <c r="X28" s="2">
        <f ca="1" xml:space="preserve">  IF( Time!X28 &lt; 1 + $F26, 0, OFFSET( X27, 0, - 1 * ( $F26 ) ) )</f>
        <v>280000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140000</v>
      </c>
      <c r="AF28" s="2">
        <f ca="1" xml:space="preserve">  IF( Time!AF28 &lt; 1 + $F26, 0, OFFSET( AF27, 0, - 1 * ( $F26 ) ) )</f>
        <v>140000</v>
      </c>
      <c r="AG28" s="2">
        <f ca="1" xml:space="preserve">  IF( Time!AG28 &lt; 1 + $F26, 0, OFFSET( AG27, 0, - 1 * ( $F26 ) ) )</f>
        <v>140000</v>
      </c>
      <c r="AH28" s="2">
        <f ca="1" xml:space="preserve">  IF( Time!AH28 &lt; 1 + $F26, 0, OFFSET( AH27, 0, - 1 * ( $F26 ) ) )</f>
        <v>280000</v>
      </c>
      <c r="AI28" s="2">
        <f ca="1" xml:space="preserve">  IF( Time!AI28 &lt; 1 + $F26, 0, OFFSET( AI27, 0, - 1 * ( $F26 ) ) )</f>
        <v>280000</v>
      </c>
      <c r="AJ28" s="2">
        <f ca="1" xml:space="preserve">  IF( Time!AJ28 &lt; 1 + $F26, 0, OFFSET( AJ27, 0, - 1 * ( $F26 ) ) )</f>
        <v>140000</v>
      </c>
      <c r="AK28" s="2">
        <f ca="1" xml:space="preserve">  IF( Time!AK28 &lt; 1 + $F26, 0, OFFSET( AK27, 0, - 1 * ( $F26 ) ) )</f>
        <v>280000</v>
      </c>
      <c r="AL28" s="2">
        <f ca="1" xml:space="preserve">  IF( Time!AL28 &lt; 1 + $F26, 0, OFFSET( AL27, 0, - 1 * ( $F26 ) ) )</f>
        <v>280000</v>
      </c>
      <c r="AM28" s="2">
        <f ca="1" xml:space="preserve">  IF( Time!AM28 &lt; 1 + $F26, 0, OFFSET( AM27, 0, - 1 * ( $F26 ) ) )</f>
        <v>280000</v>
      </c>
      <c r="AN28" s="2">
        <f ca="1" xml:space="preserve">  IF( Time!AN28 &lt; 1 + $F26, 0, OFFSET( AN27, 0, - 1 * ( $F26 ) ) )</f>
        <v>280000</v>
      </c>
      <c r="AO28" s="2">
        <f ca="1" xml:space="preserve">  IF( Time!AO28 &lt; 1 + $F26, 0, OFFSET( AO27, 0, - 1 * ( $F26 ) ) )</f>
        <v>420000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4"/>
      <c r="B29" s="34"/>
      <c r="C29" s="64"/>
      <c r="D29" s="65"/>
      <c r="E29" s="21" t="str">
        <f xml:space="preserve"> LEFT($E$28, LEN($E$28) - 3 )</f>
        <v xml:space="preserve">Supply Chain Finance principal repayment </v>
      </c>
      <c r="F29" s="21"/>
      <c r="G29" s="21" t="str">
        <f xml:space="preserve"> G$28</f>
        <v>GBP</v>
      </c>
      <c r="H29" s="3">
        <f t="shared" ca="1" si="7"/>
        <v>-4060000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-280000</v>
      </c>
      <c r="S29" s="3">
        <f t="shared" ca="1" si="8"/>
        <v>-280000</v>
      </c>
      <c r="T29" s="3">
        <f t="shared" ca="1" si="8"/>
        <v>-280000</v>
      </c>
      <c r="U29" s="3">
        <f t="shared" ca="1" si="8"/>
        <v>0</v>
      </c>
      <c r="V29" s="3">
        <f t="shared" ca="1" si="8"/>
        <v>-280000</v>
      </c>
      <c r="W29" s="3">
        <f t="shared" ca="1" si="8"/>
        <v>0</v>
      </c>
      <c r="X29" s="3">
        <f t="shared" ca="1" si="8"/>
        <v>-280000</v>
      </c>
      <c r="Y29" s="3">
        <f t="shared" ca="1" si="8"/>
        <v>0</v>
      </c>
      <c r="Z29" s="3">
        <f t="shared" ca="1" si="8"/>
        <v>0</v>
      </c>
      <c r="AA29" s="3">
        <f t="shared" ca="1" si="8"/>
        <v>0</v>
      </c>
      <c r="AB29" s="3">
        <f t="shared" ca="1" si="8"/>
        <v>0</v>
      </c>
      <c r="AC29" s="3">
        <f t="shared" ca="1" si="8"/>
        <v>0</v>
      </c>
      <c r="AD29" s="3">
        <f t="shared" ca="1" si="8"/>
        <v>0</v>
      </c>
      <c r="AE29" s="3">
        <f t="shared" ca="1" si="8"/>
        <v>-140000</v>
      </c>
      <c r="AF29" s="3">
        <f t="shared" ca="1" si="8"/>
        <v>-140000</v>
      </c>
      <c r="AG29" s="3">
        <f t="shared" ca="1" si="8"/>
        <v>-140000</v>
      </c>
      <c r="AH29" s="3">
        <f t="shared" ca="1" si="8"/>
        <v>-280000</v>
      </c>
      <c r="AI29" s="3">
        <f t="shared" ca="1" si="8"/>
        <v>-280000</v>
      </c>
      <c r="AJ29" s="3">
        <f t="shared" ca="1" si="8"/>
        <v>-140000</v>
      </c>
      <c r="AK29" s="3">
        <f t="shared" ca="1" si="8"/>
        <v>-280000</v>
      </c>
      <c r="AL29" s="3">
        <f t="shared" ca="1" si="8"/>
        <v>-280000</v>
      </c>
      <c r="AM29" s="3">
        <f t="shared" ca="1" si="8"/>
        <v>-280000</v>
      </c>
      <c r="AN29" s="3">
        <f t="shared" ca="1" si="8"/>
        <v>-280000</v>
      </c>
      <c r="AO29" s="3">
        <f t="shared" ca="1" si="8"/>
        <v>-420000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5" t="s">
        <v>152</v>
      </c>
    </row>
    <row r="33" spans="1:69" outlineLevel="1">
      <c r="E33" s="2" t="str">
        <f t="shared" ref="E33:BQ33" si="9" xml:space="preserve">  E$41</f>
        <v>Supply Chain Finance interest POS</v>
      </c>
      <c r="F33" s="2">
        <f t="shared" si="9"/>
        <v>0</v>
      </c>
      <c r="G33" s="2" t="str">
        <f t="shared" si="9"/>
        <v>GBP</v>
      </c>
      <c r="H33" s="2">
        <f t="shared" ca="1" si="9"/>
        <v>162400</v>
      </c>
      <c r="I33" s="2">
        <f t="shared" si="9"/>
        <v>0</v>
      </c>
      <c r="J33" s="2">
        <f t="shared" si="9"/>
        <v>0</v>
      </c>
      <c r="K33" s="2">
        <f t="shared" ca="1" si="9"/>
        <v>0</v>
      </c>
      <c r="L33" s="2">
        <f t="shared" ca="1" si="9"/>
        <v>0</v>
      </c>
      <c r="M33" s="2">
        <f t="shared" ca="1" si="9"/>
        <v>1866.6666666666667</v>
      </c>
      <c r="N33" s="2">
        <f t="shared" ca="1" si="9"/>
        <v>3733.3333333333335</v>
      </c>
      <c r="O33" s="2">
        <f t="shared" ca="1" si="9"/>
        <v>5600</v>
      </c>
      <c r="P33" s="2">
        <f t="shared" ca="1" si="9"/>
        <v>5600</v>
      </c>
      <c r="Q33" s="2">
        <f t="shared" ca="1" si="9"/>
        <v>7466.666666666667</v>
      </c>
      <c r="R33" s="2">
        <f t="shared" ca="1" si="9"/>
        <v>7466.666666666667</v>
      </c>
      <c r="S33" s="2">
        <f t="shared" ca="1" si="9"/>
        <v>7466.666666666667</v>
      </c>
      <c r="T33" s="2">
        <f t="shared" ca="1" si="9"/>
        <v>5600</v>
      </c>
      <c r="U33" s="2">
        <f t="shared" ca="1" si="9"/>
        <v>3733.3333333333335</v>
      </c>
      <c r="V33" s="2">
        <f t="shared" ca="1" si="9"/>
        <v>3733.3333333333335</v>
      </c>
      <c r="W33" s="2">
        <f t="shared" ca="1" si="9"/>
        <v>1866.6666666666667</v>
      </c>
      <c r="X33" s="2">
        <f t="shared" ca="1" si="9"/>
        <v>1866.6666666666667</v>
      </c>
      <c r="Y33" s="2">
        <f t="shared" ca="1" si="9"/>
        <v>0</v>
      </c>
      <c r="Z33" s="2">
        <f t="shared" ca="1" si="9"/>
        <v>933.33333333333337</v>
      </c>
      <c r="AA33" s="2">
        <f t="shared" ca="1" si="9"/>
        <v>1866.6666666666667</v>
      </c>
      <c r="AB33" s="2">
        <f t="shared" ca="1" si="9"/>
        <v>2800</v>
      </c>
      <c r="AC33" s="2">
        <f t="shared" ca="1" si="9"/>
        <v>4666.666666666667</v>
      </c>
      <c r="AD33" s="2">
        <f t="shared" ca="1" si="9"/>
        <v>6533.3333333333339</v>
      </c>
      <c r="AE33" s="2">
        <f t="shared" ca="1" si="9"/>
        <v>7466.666666666667</v>
      </c>
      <c r="AF33" s="2">
        <f t="shared" ca="1" si="9"/>
        <v>8400</v>
      </c>
      <c r="AG33" s="2">
        <f t="shared" ca="1" si="9"/>
        <v>9333.3333333333339</v>
      </c>
      <c r="AH33" s="2">
        <f t="shared" ca="1" si="9"/>
        <v>10266.666666666668</v>
      </c>
      <c r="AI33" s="2">
        <f t="shared" ca="1" si="9"/>
        <v>10266.666666666668</v>
      </c>
      <c r="AJ33" s="2">
        <f t="shared" ca="1" si="9"/>
        <v>11200</v>
      </c>
      <c r="AK33" s="2">
        <f t="shared" ca="1" si="9"/>
        <v>10266.666666666668</v>
      </c>
      <c r="AL33" s="2">
        <f t="shared" ca="1" si="9"/>
        <v>8400</v>
      </c>
      <c r="AM33" s="2">
        <f t="shared" ca="1" si="9"/>
        <v>6533.3333333333339</v>
      </c>
      <c r="AN33" s="2">
        <f t="shared" ca="1" si="9"/>
        <v>4666.666666666667</v>
      </c>
      <c r="AO33" s="2">
        <f t="shared" ca="1" si="9"/>
        <v>2800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162400</v>
      </c>
      <c r="I34" s="2">
        <f t="shared" si="10"/>
        <v>0</v>
      </c>
      <c r="J34" s="2">
        <f t="shared" si="10"/>
        <v>0</v>
      </c>
      <c r="K34" s="2">
        <f t="shared" ca="1" si="10"/>
        <v>0</v>
      </c>
      <c r="L34" s="2">
        <f t="shared" ca="1" si="10"/>
        <v>0</v>
      </c>
      <c r="M34" s="2">
        <f t="shared" ca="1" si="10"/>
        <v>1866.6666666666667</v>
      </c>
      <c r="N34" s="2">
        <f t="shared" ca="1" si="10"/>
        <v>3733.3333333333335</v>
      </c>
      <c r="O34" s="2">
        <f t="shared" ca="1" si="10"/>
        <v>5600</v>
      </c>
      <c r="P34" s="2">
        <f t="shared" ca="1" si="10"/>
        <v>5600</v>
      </c>
      <c r="Q34" s="2">
        <f t="shared" ca="1" si="10"/>
        <v>7466.666666666667</v>
      </c>
      <c r="R34" s="2">
        <f t="shared" ca="1" si="10"/>
        <v>7466.666666666667</v>
      </c>
      <c r="S34" s="2">
        <f t="shared" ca="1" si="10"/>
        <v>7466.666666666667</v>
      </c>
      <c r="T34" s="2">
        <f t="shared" ca="1" si="10"/>
        <v>5600</v>
      </c>
      <c r="U34" s="2">
        <f t="shared" ca="1" si="10"/>
        <v>3733.3333333333335</v>
      </c>
      <c r="V34" s="2">
        <f t="shared" ca="1" si="10"/>
        <v>3733.3333333333335</v>
      </c>
      <c r="W34" s="2">
        <f t="shared" ca="1" si="10"/>
        <v>1866.6666666666667</v>
      </c>
      <c r="X34" s="2">
        <f t="shared" ca="1" si="10"/>
        <v>1866.6666666666667</v>
      </c>
      <c r="Y34" s="2">
        <f t="shared" ca="1" si="10"/>
        <v>0</v>
      </c>
      <c r="Z34" s="2">
        <f t="shared" ca="1" si="10"/>
        <v>933.33333333333337</v>
      </c>
      <c r="AA34" s="2">
        <f t="shared" ca="1" si="10"/>
        <v>1866.6666666666667</v>
      </c>
      <c r="AB34" s="2">
        <f t="shared" ca="1" si="10"/>
        <v>2800</v>
      </c>
      <c r="AC34" s="2">
        <f t="shared" ca="1" si="10"/>
        <v>4666.666666666667</v>
      </c>
      <c r="AD34" s="2">
        <f t="shared" ca="1" si="10"/>
        <v>6533.3333333333339</v>
      </c>
      <c r="AE34" s="2">
        <f t="shared" ca="1" si="10"/>
        <v>7466.666666666667</v>
      </c>
      <c r="AF34" s="2">
        <f t="shared" ca="1" si="10"/>
        <v>8400</v>
      </c>
      <c r="AG34" s="2">
        <f t="shared" ca="1" si="10"/>
        <v>9333.3333333333339</v>
      </c>
      <c r="AH34" s="2">
        <f t="shared" ca="1" si="10"/>
        <v>10266.666666666668</v>
      </c>
      <c r="AI34" s="2">
        <f t="shared" ca="1" si="10"/>
        <v>10266.666666666668</v>
      </c>
      <c r="AJ34" s="2">
        <f t="shared" ca="1" si="10"/>
        <v>11200</v>
      </c>
      <c r="AK34" s="2">
        <f t="shared" ca="1" si="10"/>
        <v>10266.666666666668</v>
      </c>
      <c r="AL34" s="2">
        <f t="shared" ca="1" si="10"/>
        <v>8400</v>
      </c>
      <c r="AM34" s="2">
        <f t="shared" ca="1" si="10"/>
        <v>6533.3333333333339</v>
      </c>
      <c r="AN34" s="2">
        <f t="shared" ca="1" si="10"/>
        <v>4666.666666666667</v>
      </c>
      <c r="AO34" s="2">
        <f t="shared" ca="1" si="10"/>
        <v>2800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7" t="s">
        <v>152</v>
      </c>
      <c r="G35" s="47" t="s">
        <v>258</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5" t="s">
        <v>113</v>
      </c>
    </row>
    <row r="39" spans="1:69" outlineLevel="1">
      <c r="E39" s="57" t="str">
        <f t="shared" ref="E39:G39" si="12" xml:space="preserve">  E$55</f>
        <v>Supply Chain Finance period interest rate</v>
      </c>
      <c r="F39" s="57">
        <f t="shared" si="12"/>
        <v>6.6666666666666671E-3</v>
      </c>
      <c r="G39" s="57" t="str">
        <f t="shared" si="12"/>
        <v>%</v>
      </c>
      <c r="M39" s="57"/>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280000</v>
      </c>
      <c r="N40" s="2">
        <f t="shared" ca="1" si="13"/>
        <v>560000</v>
      </c>
      <c r="O40" s="2">
        <f t="shared" ca="1" si="13"/>
        <v>840000</v>
      </c>
      <c r="P40" s="2">
        <f t="shared" ca="1" si="13"/>
        <v>840000</v>
      </c>
      <c r="Q40" s="2">
        <f t="shared" ca="1" si="13"/>
        <v>1120000</v>
      </c>
      <c r="R40" s="2">
        <f t="shared" ca="1" si="13"/>
        <v>1120000</v>
      </c>
      <c r="S40" s="2">
        <f t="shared" ca="1" si="13"/>
        <v>1120000</v>
      </c>
      <c r="T40" s="2">
        <f t="shared" ca="1" si="13"/>
        <v>840000</v>
      </c>
      <c r="U40" s="2">
        <f t="shared" ca="1" si="13"/>
        <v>560000</v>
      </c>
      <c r="V40" s="2">
        <f t="shared" ca="1" si="13"/>
        <v>560000</v>
      </c>
      <c r="W40" s="2">
        <f t="shared" ca="1" si="13"/>
        <v>280000</v>
      </c>
      <c r="X40" s="2">
        <f t="shared" ca="1" si="13"/>
        <v>280000</v>
      </c>
      <c r="Y40" s="2">
        <f t="shared" ca="1" si="13"/>
        <v>0</v>
      </c>
      <c r="Z40" s="2">
        <f t="shared" ca="1" si="13"/>
        <v>140000</v>
      </c>
      <c r="AA40" s="2">
        <f t="shared" ca="1" si="13"/>
        <v>280000</v>
      </c>
      <c r="AB40" s="2">
        <f t="shared" ca="1" si="13"/>
        <v>420000</v>
      </c>
      <c r="AC40" s="2">
        <f t="shared" ca="1" si="13"/>
        <v>700000</v>
      </c>
      <c r="AD40" s="2">
        <f t="shared" ca="1" si="13"/>
        <v>980000</v>
      </c>
      <c r="AE40" s="2">
        <f t="shared" ca="1" si="13"/>
        <v>1120000</v>
      </c>
      <c r="AF40" s="2">
        <f t="shared" ca="1" si="13"/>
        <v>1260000</v>
      </c>
      <c r="AG40" s="2">
        <f t="shared" ca="1" si="13"/>
        <v>1400000</v>
      </c>
      <c r="AH40" s="2">
        <f t="shared" ca="1" si="13"/>
        <v>1540000</v>
      </c>
      <c r="AI40" s="2">
        <f t="shared" ca="1" si="13"/>
        <v>1540000</v>
      </c>
      <c r="AJ40" s="2">
        <f t="shared" ca="1" si="13"/>
        <v>1680000</v>
      </c>
      <c r="AK40" s="2">
        <f t="shared" ca="1" si="13"/>
        <v>1540000</v>
      </c>
      <c r="AL40" s="2">
        <f t="shared" ca="1" si="13"/>
        <v>1260000</v>
      </c>
      <c r="AM40" s="2">
        <f t="shared" ca="1" si="13"/>
        <v>980000</v>
      </c>
      <c r="AN40" s="2">
        <f t="shared" ca="1" si="13"/>
        <v>700000</v>
      </c>
      <c r="AO40" s="2">
        <f t="shared" ca="1" si="13"/>
        <v>420000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287</v>
      </c>
      <c r="G41" s="47" t="s">
        <v>258</v>
      </c>
      <c r="H41" s="2">
        <f t="shared" ref="H41:H42" ca="1" si="14" xml:space="preserve"> SUM( J41:BQ41 )</f>
        <v>162400</v>
      </c>
      <c r="J41" s="2">
        <f t="shared" ref="J41:BQ41" si="15" xml:space="preserve">  $F39 * J40</f>
        <v>0</v>
      </c>
      <c r="K41" s="2">
        <f t="shared" ca="1" si="15"/>
        <v>0</v>
      </c>
      <c r="L41" s="2">
        <f t="shared" ca="1" si="15"/>
        <v>0</v>
      </c>
      <c r="M41" s="2">
        <f t="shared" ca="1" si="15"/>
        <v>1866.6666666666667</v>
      </c>
      <c r="N41" s="2">
        <f t="shared" ca="1" si="15"/>
        <v>3733.3333333333335</v>
      </c>
      <c r="O41" s="2">
        <f t="shared" ca="1" si="15"/>
        <v>5600</v>
      </c>
      <c r="P41" s="2">
        <f t="shared" ca="1" si="15"/>
        <v>5600</v>
      </c>
      <c r="Q41" s="2">
        <f t="shared" ca="1" si="15"/>
        <v>7466.666666666667</v>
      </c>
      <c r="R41" s="2">
        <f t="shared" ca="1" si="15"/>
        <v>7466.666666666667</v>
      </c>
      <c r="S41" s="2">
        <f t="shared" ca="1" si="15"/>
        <v>7466.666666666667</v>
      </c>
      <c r="T41" s="2">
        <f t="shared" ca="1" si="15"/>
        <v>5600</v>
      </c>
      <c r="U41" s="2">
        <f t="shared" ca="1" si="15"/>
        <v>3733.3333333333335</v>
      </c>
      <c r="V41" s="2">
        <f t="shared" ca="1" si="15"/>
        <v>3733.3333333333335</v>
      </c>
      <c r="W41" s="2">
        <f t="shared" ca="1" si="15"/>
        <v>1866.6666666666667</v>
      </c>
      <c r="X41" s="2">
        <f t="shared" ca="1" si="15"/>
        <v>1866.6666666666667</v>
      </c>
      <c r="Y41" s="2">
        <f t="shared" ca="1" si="15"/>
        <v>0</v>
      </c>
      <c r="Z41" s="2">
        <f t="shared" ca="1" si="15"/>
        <v>933.33333333333337</v>
      </c>
      <c r="AA41" s="2">
        <f t="shared" ca="1" si="15"/>
        <v>1866.6666666666667</v>
      </c>
      <c r="AB41" s="2">
        <f t="shared" ca="1" si="15"/>
        <v>2800</v>
      </c>
      <c r="AC41" s="2">
        <f t="shared" ca="1" si="15"/>
        <v>4666.666666666667</v>
      </c>
      <c r="AD41" s="2">
        <f t="shared" ca="1" si="15"/>
        <v>6533.3333333333339</v>
      </c>
      <c r="AE41" s="2">
        <f t="shared" ca="1" si="15"/>
        <v>7466.666666666667</v>
      </c>
      <c r="AF41" s="2">
        <f t="shared" ca="1" si="15"/>
        <v>8400</v>
      </c>
      <c r="AG41" s="2">
        <f t="shared" ca="1" si="15"/>
        <v>9333.3333333333339</v>
      </c>
      <c r="AH41" s="2">
        <f t="shared" ca="1" si="15"/>
        <v>10266.666666666668</v>
      </c>
      <c r="AI41" s="2">
        <f t="shared" ca="1" si="15"/>
        <v>10266.666666666668</v>
      </c>
      <c r="AJ41" s="2">
        <f t="shared" ca="1" si="15"/>
        <v>11200</v>
      </c>
      <c r="AK41" s="2">
        <f t="shared" ca="1" si="15"/>
        <v>10266.666666666668</v>
      </c>
      <c r="AL41" s="2">
        <f t="shared" ca="1" si="15"/>
        <v>8400</v>
      </c>
      <c r="AM41" s="2">
        <f t="shared" ca="1" si="15"/>
        <v>6533.3333333333339</v>
      </c>
      <c r="AN41" s="2">
        <f t="shared" ca="1" si="15"/>
        <v>4666.666666666667</v>
      </c>
      <c r="AO41" s="2">
        <f t="shared" ca="1" si="15"/>
        <v>2800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4"/>
      <c r="B42" s="34"/>
      <c r="C42" s="64"/>
      <c r="D42" s="65"/>
      <c r="E42" s="21" t="str">
        <f xml:space="preserve"> LEFT($E$41, LEN($E$41) - 3 )</f>
        <v xml:space="preserve">Supply Chain Finance interest </v>
      </c>
      <c r="F42" s="21"/>
      <c r="G42" s="21" t="str">
        <f xml:space="preserve"> G$41</f>
        <v>GBP</v>
      </c>
      <c r="H42" s="3">
        <f t="shared" ca="1" si="14"/>
        <v>-162400</v>
      </c>
      <c r="I42" s="21"/>
      <c r="J42" s="3">
        <f t="shared" ref="J42:BQ42" si="16" xml:space="preserve"> -1 * J41</f>
        <v>0</v>
      </c>
      <c r="K42" s="3">
        <f t="shared" ca="1" si="16"/>
        <v>0</v>
      </c>
      <c r="L42" s="3">
        <f t="shared" ca="1" si="16"/>
        <v>0</v>
      </c>
      <c r="M42" s="3">
        <f t="shared" ca="1" si="16"/>
        <v>-1866.6666666666667</v>
      </c>
      <c r="N42" s="3">
        <f t="shared" ca="1" si="16"/>
        <v>-3733.3333333333335</v>
      </c>
      <c r="O42" s="3">
        <f t="shared" ca="1" si="16"/>
        <v>-5600</v>
      </c>
      <c r="P42" s="3">
        <f t="shared" ca="1" si="16"/>
        <v>-5600</v>
      </c>
      <c r="Q42" s="3">
        <f t="shared" ca="1" si="16"/>
        <v>-7466.666666666667</v>
      </c>
      <c r="R42" s="3">
        <f t="shared" ca="1" si="16"/>
        <v>-7466.666666666667</v>
      </c>
      <c r="S42" s="3">
        <f t="shared" ca="1" si="16"/>
        <v>-7466.666666666667</v>
      </c>
      <c r="T42" s="3">
        <f t="shared" ca="1" si="16"/>
        <v>-5600</v>
      </c>
      <c r="U42" s="3">
        <f t="shared" ca="1" si="16"/>
        <v>-3733.3333333333335</v>
      </c>
      <c r="V42" s="3">
        <f t="shared" ca="1" si="16"/>
        <v>-3733.3333333333335</v>
      </c>
      <c r="W42" s="3">
        <f t="shared" ca="1" si="16"/>
        <v>-1866.6666666666667</v>
      </c>
      <c r="X42" s="3">
        <f t="shared" ca="1" si="16"/>
        <v>-1866.6666666666667</v>
      </c>
      <c r="Y42" s="3">
        <f t="shared" ca="1" si="16"/>
        <v>0</v>
      </c>
      <c r="Z42" s="3">
        <f t="shared" ca="1" si="16"/>
        <v>-933.33333333333337</v>
      </c>
      <c r="AA42" s="3">
        <f t="shared" ca="1" si="16"/>
        <v>-1866.6666666666667</v>
      </c>
      <c r="AB42" s="3">
        <f t="shared" ca="1" si="16"/>
        <v>-2800</v>
      </c>
      <c r="AC42" s="3">
        <f t="shared" ca="1" si="16"/>
        <v>-4666.666666666667</v>
      </c>
      <c r="AD42" s="3">
        <f t="shared" ca="1" si="16"/>
        <v>-6533.3333333333339</v>
      </c>
      <c r="AE42" s="3">
        <f t="shared" ca="1" si="16"/>
        <v>-7466.666666666667</v>
      </c>
      <c r="AF42" s="3">
        <f t="shared" ca="1" si="16"/>
        <v>-8400</v>
      </c>
      <c r="AG42" s="3">
        <f t="shared" ca="1" si="16"/>
        <v>-9333.3333333333339</v>
      </c>
      <c r="AH42" s="3">
        <f t="shared" ca="1" si="16"/>
        <v>-10266.666666666668</v>
      </c>
      <c r="AI42" s="3">
        <f t="shared" ca="1" si="16"/>
        <v>-10266.666666666668</v>
      </c>
      <c r="AJ42" s="3">
        <f t="shared" ca="1" si="16"/>
        <v>-11200</v>
      </c>
      <c r="AK42" s="3">
        <f t="shared" ca="1" si="16"/>
        <v>-10266.666666666668</v>
      </c>
      <c r="AL42" s="3">
        <f t="shared" ca="1" si="16"/>
        <v>-8400</v>
      </c>
      <c r="AM42" s="3">
        <f t="shared" ca="1" si="16"/>
        <v>-6533.3333333333339</v>
      </c>
      <c r="AN42" s="3">
        <f t="shared" ca="1" si="16"/>
        <v>-4666.666666666667</v>
      </c>
      <c r="AO42" s="3">
        <f t="shared" ca="1" si="16"/>
        <v>-2800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5" t="s">
        <v>200</v>
      </c>
    </row>
    <row r="46" spans="1:69" outlineLevel="1">
      <c r="E46" s="2" t="str">
        <f t="shared" ref="E46:BQ46" si="17" xml:space="preserve">  E$41</f>
        <v>Supply Chain Finance interest POS</v>
      </c>
      <c r="F46" s="2">
        <f t="shared" si="17"/>
        <v>0</v>
      </c>
      <c r="G46" s="2" t="str">
        <f t="shared" si="17"/>
        <v>GBP</v>
      </c>
      <c r="H46" s="2">
        <f t="shared" ca="1" si="17"/>
        <v>162400</v>
      </c>
      <c r="I46" s="2">
        <f t="shared" si="17"/>
        <v>0</v>
      </c>
      <c r="J46" s="2">
        <f t="shared" si="17"/>
        <v>0</v>
      </c>
      <c r="K46" s="2">
        <f t="shared" ca="1" si="17"/>
        <v>0</v>
      </c>
      <c r="L46" s="2">
        <f t="shared" ca="1" si="17"/>
        <v>0</v>
      </c>
      <c r="M46" s="2">
        <f t="shared" ca="1" si="17"/>
        <v>1866.6666666666667</v>
      </c>
      <c r="N46" s="2">
        <f t="shared" ca="1" si="17"/>
        <v>3733.3333333333335</v>
      </c>
      <c r="O46" s="2">
        <f t="shared" ca="1" si="17"/>
        <v>5600</v>
      </c>
      <c r="P46" s="2">
        <f t="shared" ca="1" si="17"/>
        <v>5600</v>
      </c>
      <c r="Q46" s="2">
        <f t="shared" ca="1" si="17"/>
        <v>7466.666666666667</v>
      </c>
      <c r="R46" s="2">
        <f t="shared" ca="1" si="17"/>
        <v>7466.666666666667</v>
      </c>
      <c r="S46" s="2">
        <f t="shared" ca="1" si="17"/>
        <v>7466.666666666667</v>
      </c>
      <c r="T46" s="2">
        <f t="shared" ca="1" si="17"/>
        <v>5600</v>
      </c>
      <c r="U46" s="2">
        <f t="shared" ca="1" si="17"/>
        <v>3733.3333333333335</v>
      </c>
      <c r="V46" s="2">
        <f t="shared" ca="1" si="17"/>
        <v>3733.3333333333335</v>
      </c>
      <c r="W46" s="2">
        <f t="shared" ca="1" si="17"/>
        <v>1866.6666666666667</v>
      </c>
      <c r="X46" s="2">
        <f t="shared" ca="1" si="17"/>
        <v>1866.6666666666667</v>
      </c>
      <c r="Y46" s="2">
        <f t="shared" ca="1" si="17"/>
        <v>0</v>
      </c>
      <c r="Z46" s="2">
        <f t="shared" ca="1" si="17"/>
        <v>933.33333333333337</v>
      </c>
      <c r="AA46" s="2">
        <f t="shared" ca="1" si="17"/>
        <v>1866.6666666666667</v>
      </c>
      <c r="AB46" s="2">
        <f t="shared" ca="1" si="17"/>
        <v>2800</v>
      </c>
      <c r="AC46" s="2">
        <f t="shared" ca="1" si="17"/>
        <v>4666.666666666667</v>
      </c>
      <c r="AD46" s="2">
        <f t="shared" ca="1" si="17"/>
        <v>6533.3333333333339</v>
      </c>
      <c r="AE46" s="2">
        <f t="shared" ca="1" si="17"/>
        <v>7466.666666666667</v>
      </c>
      <c r="AF46" s="2">
        <f t="shared" ca="1" si="17"/>
        <v>8400</v>
      </c>
      <c r="AG46" s="2">
        <f t="shared" ca="1" si="17"/>
        <v>9333.3333333333339</v>
      </c>
      <c r="AH46" s="2">
        <f t="shared" ca="1" si="17"/>
        <v>10266.666666666668</v>
      </c>
      <c r="AI46" s="2">
        <f t="shared" ca="1" si="17"/>
        <v>10266.666666666668</v>
      </c>
      <c r="AJ46" s="2">
        <f t="shared" ca="1" si="17"/>
        <v>11200</v>
      </c>
      <c r="AK46" s="2">
        <f t="shared" ca="1" si="17"/>
        <v>10266.666666666668</v>
      </c>
      <c r="AL46" s="2">
        <f t="shared" ca="1" si="17"/>
        <v>8400</v>
      </c>
      <c r="AM46" s="2">
        <f t="shared" ca="1" si="17"/>
        <v>6533.3333333333339</v>
      </c>
      <c r="AN46" s="2">
        <f t="shared" ca="1" si="17"/>
        <v>4666.666666666667</v>
      </c>
      <c r="AO46" s="2">
        <f t="shared" ca="1" si="17"/>
        <v>2800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7" t="s">
        <v>288</v>
      </c>
      <c r="G47" s="47" t="s">
        <v>258</v>
      </c>
      <c r="H47" s="2">
        <f t="shared" ref="H47:H48" ca="1" si="18" xml:space="preserve"> SUM( J47:BQ47 )</f>
        <v>162400</v>
      </c>
      <c r="J47" s="2">
        <f t="shared" ref="J47:BQ47" si="19" xml:space="preserve">  J46</f>
        <v>0</v>
      </c>
      <c r="K47" s="2">
        <f t="shared" ca="1" si="19"/>
        <v>0</v>
      </c>
      <c r="L47" s="2">
        <f t="shared" ca="1" si="19"/>
        <v>0</v>
      </c>
      <c r="M47" s="2">
        <f t="shared" ca="1" si="19"/>
        <v>1866.6666666666667</v>
      </c>
      <c r="N47" s="2">
        <f t="shared" ca="1" si="19"/>
        <v>3733.3333333333335</v>
      </c>
      <c r="O47" s="2">
        <f t="shared" ca="1" si="19"/>
        <v>5600</v>
      </c>
      <c r="P47" s="2">
        <f t="shared" ca="1" si="19"/>
        <v>5600</v>
      </c>
      <c r="Q47" s="2">
        <f t="shared" ca="1" si="19"/>
        <v>7466.666666666667</v>
      </c>
      <c r="R47" s="2">
        <f t="shared" ca="1" si="19"/>
        <v>7466.666666666667</v>
      </c>
      <c r="S47" s="2">
        <f t="shared" ca="1" si="19"/>
        <v>7466.666666666667</v>
      </c>
      <c r="T47" s="2">
        <f t="shared" ca="1" si="19"/>
        <v>5600</v>
      </c>
      <c r="U47" s="2">
        <f t="shared" ca="1" si="19"/>
        <v>3733.3333333333335</v>
      </c>
      <c r="V47" s="2">
        <f t="shared" ca="1" si="19"/>
        <v>3733.3333333333335</v>
      </c>
      <c r="W47" s="2">
        <f t="shared" ca="1" si="19"/>
        <v>1866.6666666666667</v>
      </c>
      <c r="X47" s="2">
        <f t="shared" ca="1" si="19"/>
        <v>1866.6666666666667</v>
      </c>
      <c r="Y47" s="2">
        <f t="shared" ca="1" si="19"/>
        <v>0</v>
      </c>
      <c r="Z47" s="2">
        <f t="shared" ca="1" si="19"/>
        <v>933.33333333333337</v>
      </c>
      <c r="AA47" s="2">
        <f t="shared" ca="1" si="19"/>
        <v>1866.6666666666667</v>
      </c>
      <c r="AB47" s="2">
        <f t="shared" ca="1" si="19"/>
        <v>2800</v>
      </c>
      <c r="AC47" s="2">
        <f t="shared" ca="1" si="19"/>
        <v>4666.666666666667</v>
      </c>
      <c r="AD47" s="2">
        <f t="shared" ca="1" si="19"/>
        <v>6533.3333333333339</v>
      </c>
      <c r="AE47" s="2">
        <f t="shared" ca="1" si="19"/>
        <v>7466.666666666667</v>
      </c>
      <c r="AF47" s="2">
        <f t="shared" ca="1" si="19"/>
        <v>8400</v>
      </c>
      <c r="AG47" s="2">
        <f t="shared" ca="1" si="19"/>
        <v>9333.3333333333339</v>
      </c>
      <c r="AH47" s="2">
        <f t="shared" ca="1" si="19"/>
        <v>10266.666666666668</v>
      </c>
      <c r="AI47" s="2">
        <f t="shared" ca="1" si="19"/>
        <v>10266.666666666668</v>
      </c>
      <c r="AJ47" s="2">
        <f t="shared" ca="1" si="19"/>
        <v>11200</v>
      </c>
      <c r="AK47" s="2">
        <f t="shared" ca="1" si="19"/>
        <v>10266.666666666668</v>
      </c>
      <c r="AL47" s="2">
        <f t="shared" ca="1" si="19"/>
        <v>8400</v>
      </c>
      <c r="AM47" s="2">
        <f t="shared" ca="1" si="19"/>
        <v>6533.3333333333339</v>
      </c>
      <c r="AN47" s="2">
        <f t="shared" ca="1" si="19"/>
        <v>4666.666666666667</v>
      </c>
      <c r="AO47" s="2">
        <f t="shared" ca="1" si="19"/>
        <v>2800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4"/>
      <c r="B48" s="34"/>
      <c r="C48" s="64"/>
      <c r="D48" s="65"/>
      <c r="E48" s="21" t="str">
        <f xml:space="preserve"> LEFT($E$47, LEN($E$47) - 3 )</f>
        <v xml:space="preserve">Supply Chain Finance interest paid </v>
      </c>
      <c r="F48" s="21"/>
      <c r="G48" s="21" t="str">
        <f xml:space="preserve"> G$47</f>
        <v>GBP</v>
      </c>
      <c r="H48" s="3">
        <f t="shared" ca="1" si="18"/>
        <v>-162400</v>
      </c>
      <c r="I48" s="21"/>
      <c r="J48" s="3">
        <f t="shared" ref="J48:BQ48" si="20" xml:space="preserve"> -1 * J47</f>
        <v>0</v>
      </c>
      <c r="K48" s="3">
        <f t="shared" ca="1" si="20"/>
        <v>0</v>
      </c>
      <c r="L48" s="3">
        <f t="shared" ca="1" si="20"/>
        <v>0</v>
      </c>
      <c r="M48" s="3">
        <f t="shared" ca="1" si="20"/>
        <v>-1866.6666666666667</v>
      </c>
      <c r="N48" s="3">
        <f t="shared" ca="1" si="20"/>
        <v>-3733.3333333333335</v>
      </c>
      <c r="O48" s="3">
        <f t="shared" ca="1" si="20"/>
        <v>-5600</v>
      </c>
      <c r="P48" s="3">
        <f t="shared" ca="1" si="20"/>
        <v>-5600</v>
      </c>
      <c r="Q48" s="3">
        <f t="shared" ca="1" si="20"/>
        <v>-7466.666666666667</v>
      </c>
      <c r="R48" s="3">
        <f t="shared" ca="1" si="20"/>
        <v>-7466.666666666667</v>
      </c>
      <c r="S48" s="3">
        <f t="shared" ca="1" si="20"/>
        <v>-7466.666666666667</v>
      </c>
      <c r="T48" s="3">
        <f t="shared" ca="1" si="20"/>
        <v>-5600</v>
      </c>
      <c r="U48" s="3">
        <f t="shared" ca="1" si="20"/>
        <v>-3733.3333333333335</v>
      </c>
      <c r="V48" s="3">
        <f t="shared" ca="1" si="20"/>
        <v>-3733.3333333333335</v>
      </c>
      <c r="W48" s="3">
        <f t="shared" ca="1" si="20"/>
        <v>-1866.6666666666667</v>
      </c>
      <c r="X48" s="3">
        <f t="shared" ca="1" si="20"/>
        <v>-1866.6666666666667</v>
      </c>
      <c r="Y48" s="3">
        <f t="shared" ca="1" si="20"/>
        <v>0</v>
      </c>
      <c r="Z48" s="3">
        <f t="shared" ca="1" si="20"/>
        <v>-933.33333333333337</v>
      </c>
      <c r="AA48" s="3">
        <f t="shared" ca="1" si="20"/>
        <v>-1866.6666666666667</v>
      </c>
      <c r="AB48" s="3">
        <f t="shared" ca="1" si="20"/>
        <v>-2800</v>
      </c>
      <c r="AC48" s="3">
        <f t="shared" ca="1" si="20"/>
        <v>-4666.666666666667</v>
      </c>
      <c r="AD48" s="3">
        <f t="shared" ca="1" si="20"/>
        <v>-6533.3333333333339</v>
      </c>
      <c r="AE48" s="3">
        <f t="shared" ca="1" si="20"/>
        <v>-7466.666666666667</v>
      </c>
      <c r="AF48" s="3">
        <f t="shared" ca="1" si="20"/>
        <v>-8400</v>
      </c>
      <c r="AG48" s="3">
        <f t="shared" ca="1" si="20"/>
        <v>-9333.3333333333339</v>
      </c>
      <c r="AH48" s="3">
        <f t="shared" ca="1" si="20"/>
        <v>-10266.666666666668</v>
      </c>
      <c r="AI48" s="3">
        <f t="shared" ca="1" si="20"/>
        <v>-10266.666666666668</v>
      </c>
      <c r="AJ48" s="3">
        <f t="shared" ca="1" si="20"/>
        <v>-11200</v>
      </c>
      <c r="AK48" s="3">
        <f t="shared" ca="1" si="20"/>
        <v>-10266.666666666668</v>
      </c>
      <c r="AL48" s="3">
        <f t="shared" ca="1" si="20"/>
        <v>-8400</v>
      </c>
      <c r="AM48" s="3">
        <f t="shared" ca="1" si="20"/>
        <v>-6533.3333333333339</v>
      </c>
      <c r="AN48" s="3">
        <f t="shared" ca="1" si="20"/>
        <v>-4666.666666666667</v>
      </c>
      <c r="AO48" s="3">
        <f t="shared" ca="1" si="20"/>
        <v>-2800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5" t="s">
        <v>223</v>
      </c>
    </row>
    <row r="52" spans="1:13" outlineLevel="1">
      <c r="A52" s="18"/>
      <c r="B52" s="18"/>
      <c r="C52" s="28"/>
      <c r="D52" s="27"/>
      <c r="E52" s="42" t="str">
        <f xml:space="preserve">  InpC!E$70</f>
        <v>All in Supply Chain Finance annual interest rate</v>
      </c>
      <c r="F52" s="42">
        <f xml:space="preserve">  InpC!F$70</f>
        <v>0.08</v>
      </c>
      <c r="G52" s="42" t="str">
        <f xml:space="preserve">  InpC!G$70</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223</v>
      </c>
      <c r="F55" s="57">
        <f xml:space="preserve">  $F52 / $F53 * $F54</f>
        <v>6.6666666666666671E-3</v>
      </c>
      <c r="G55" s="47" t="s">
        <v>208</v>
      </c>
      <c r="M55" s="57"/>
    </row>
    <row r="58" spans="1:13">
      <c r="B58" s="25" t="s">
        <v>271</v>
      </c>
    </row>
  </sheetData>
  <conditionalFormatting sqref="F3">
    <cfRule type="cellIs" dxfId="239" priority="13" stopIfTrue="1" operator="notEqual">
      <formula>0</formula>
    </cfRule>
    <cfRule type="cellIs" dxfId="238" priority="14" stopIfTrue="1" operator="equal">
      <formula>""</formula>
    </cfRule>
  </conditionalFormatting>
  <conditionalFormatting sqref="J3:BQ3">
    <cfRule type="cellIs" dxfId="237" priority="11" stopIfTrue="1" operator="equal">
      <formula>"Construction"</formula>
    </cfRule>
    <cfRule type="cellIs" dxfId="236" priority="12" stopIfTrue="1" operator="equal">
      <formula>"Operations"</formula>
    </cfRule>
  </conditionalFormatting>
  <conditionalFormatting sqref="J3:BQ3">
    <cfRule type="cellIs" dxfId="235" priority="10" operator="equal">
      <formula>"Fin Close"</formula>
    </cfRule>
  </conditionalFormatting>
  <conditionalFormatting sqref="J3:BQ3">
    <cfRule type="cellIs" dxfId="234" priority="8" operator="equal">
      <formula>"PPA ext."</formula>
    </cfRule>
    <cfRule type="cellIs" dxfId="233" priority="9" operator="equal">
      <formula>"Delay"</formula>
    </cfRule>
  </conditionalFormatting>
  <conditionalFormatting sqref="F2">
    <cfRule type="cellIs" dxfId="232" priority="1" stopIfTrue="1" operator="notEqual">
      <formula>0</formula>
    </cfRule>
    <cfRule type="cellIs" dxfId="231"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2.109375" style="47" bestFit="1" customWidth="1"/>
    <col min="6" max="6" width="20.5546875" style="47" bestFit="1" customWidth="1"/>
    <col min="7" max="7" width="13.21875" style="47" bestFit="1" customWidth="1"/>
    <col min="8" max="8" width="12.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777343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Asset Finance</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135</v>
      </c>
    </row>
    <row r="9" spans="1:69" s="82" customFormat="1">
      <c r="A9" s="59"/>
      <c r="B9" s="59"/>
      <c r="C9" s="87"/>
      <c r="D9" s="84"/>
      <c r="E9" s="40" t="str">
        <f xml:space="preserve">  InpC!E$79</f>
        <v>Opening Asset Finance balance</v>
      </c>
      <c r="F9" s="40">
        <f xml:space="preserve">  InpC!F$79</f>
        <v>0</v>
      </c>
      <c r="G9" s="40" t="str">
        <f xml:space="preserve">  InpC!G$79</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350</v>
      </c>
      <c r="G11" s="47" t="s">
        <v>258</v>
      </c>
      <c r="J11" s="2">
        <f t="shared" ref="J11:BQ11" si="0" xml:space="preserve">  I15</f>
        <v>0</v>
      </c>
      <c r="K11" s="2">
        <f t="shared" ca="1" si="0"/>
        <v>0</v>
      </c>
      <c r="L11" s="2">
        <f t="shared" ca="1" si="0"/>
        <v>175000</v>
      </c>
      <c r="M11" s="2">
        <f t="shared" ca="1" si="0"/>
        <v>167708.33333333334</v>
      </c>
      <c r="N11" s="2">
        <f t="shared" ca="1" si="0"/>
        <v>160720.48611111112</v>
      </c>
      <c r="O11" s="2">
        <f t="shared" ca="1" si="0"/>
        <v>154023.79918981483</v>
      </c>
      <c r="P11" s="2">
        <f t="shared" ca="1" si="0"/>
        <v>497606.14089023921</v>
      </c>
      <c r="Q11" s="2">
        <f t="shared" ca="1" si="0"/>
        <v>476872.55168647924</v>
      </c>
      <c r="R11" s="2">
        <f t="shared" ca="1" si="0"/>
        <v>457002.86203287594</v>
      </c>
      <c r="S11" s="2">
        <f t="shared" ca="1" si="0"/>
        <v>437961.07611483947</v>
      </c>
      <c r="T11" s="2">
        <f t="shared" ca="1" si="0"/>
        <v>769712.69794338779</v>
      </c>
      <c r="U11" s="2">
        <f t="shared" ca="1" si="0"/>
        <v>737641.33552908001</v>
      </c>
      <c r="V11" s="2">
        <f t="shared" ca="1" si="0"/>
        <v>1056906.2798820352</v>
      </c>
      <c r="W11" s="2">
        <f t="shared" ca="1" si="0"/>
        <v>1362868.5182202838</v>
      </c>
      <c r="X11" s="2">
        <f t="shared" ca="1" si="0"/>
        <v>1306082.3299611052</v>
      </c>
      <c r="Y11" s="2">
        <f t="shared" ca="1" si="0"/>
        <v>1601662.2328793926</v>
      </c>
      <c r="Z11" s="2">
        <f t="shared" ca="1" si="0"/>
        <v>1534926.3065094179</v>
      </c>
      <c r="AA11" s="2">
        <f t="shared" ca="1" si="0"/>
        <v>1470971.0437381922</v>
      </c>
      <c r="AB11" s="2">
        <f t="shared" ca="1" si="0"/>
        <v>1409680.5835824341</v>
      </c>
      <c r="AC11" s="2">
        <f t="shared" ca="1" si="0"/>
        <v>1350943.8925998327</v>
      </c>
      <c r="AD11" s="2">
        <f t="shared" ca="1" si="0"/>
        <v>1294654.5637415063</v>
      </c>
      <c r="AE11" s="2">
        <f t="shared" ca="1" si="0"/>
        <v>1240710.6235856102</v>
      </c>
      <c r="AF11" s="2">
        <f t="shared" ca="1" si="0"/>
        <v>1364014.3476028764</v>
      </c>
      <c r="AG11" s="2">
        <f t="shared" ca="1" si="0"/>
        <v>1482180.4164527566</v>
      </c>
      <c r="AH11" s="2">
        <f t="shared" ca="1" si="0"/>
        <v>1595422.8991005584</v>
      </c>
      <c r="AI11" s="2">
        <f t="shared" ca="1" si="0"/>
        <v>1528946.9449713684</v>
      </c>
      <c r="AJ11" s="2">
        <f t="shared" ca="1" si="0"/>
        <v>1465240.822264228</v>
      </c>
      <c r="AK11" s="2">
        <f t="shared" ca="1" si="0"/>
        <v>1404189.1213365518</v>
      </c>
      <c r="AL11" s="2">
        <f t="shared" ca="1" si="0"/>
        <v>1345681.2412808621</v>
      </c>
      <c r="AM11" s="2">
        <f t="shared" ca="1" si="0"/>
        <v>1289611.1895608262</v>
      </c>
      <c r="AN11" s="2">
        <f t="shared" ca="1" si="0"/>
        <v>1235877.3899957917</v>
      </c>
      <c r="AO11" s="2">
        <f t="shared" ca="1" si="0"/>
        <v>1184382.4987459672</v>
      </c>
      <c r="AP11" s="2">
        <f t="shared" ca="1" si="0"/>
        <v>1135033.2279648853</v>
      </c>
      <c r="AQ11" s="2">
        <f t="shared" ca="1" si="0"/>
        <v>1087740.1767996817</v>
      </c>
      <c r="AR11" s="2">
        <f t="shared" ca="1" si="0"/>
        <v>1042417.6694330283</v>
      </c>
      <c r="AS11" s="2">
        <f t="shared" ca="1" si="0"/>
        <v>998983.5998733188</v>
      </c>
      <c r="AT11" s="2">
        <f t="shared" ca="1" si="0"/>
        <v>957359.28321193054</v>
      </c>
      <c r="AU11" s="2">
        <f t="shared" ca="1" si="0"/>
        <v>917469.31307810009</v>
      </c>
      <c r="AV11" s="2">
        <f t="shared" ca="1" si="0"/>
        <v>879241.42503317923</v>
      </c>
      <c r="AW11" s="2">
        <f t="shared" ca="1" si="0"/>
        <v>842606.36565679673</v>
      </c>
      <c r="AX11" s="2">
        <f t="shared" ca="1" si="0"/>
        <v>807497.76708776352</v>
      </c>
      <c r="AY11" s="2">
        <f t="shared" ca="1" si="0"/>
        <v>773852.0267924401</v>
      </c>
      <c r="AZ11" s="2">
        <f t="shared" ca="1" si="0"/>
        <v>741608.19234275515</v>
      </c>
      <c r="BA11" s="2">
        <f t="shared" ca="1" si="0"/>
        <v>710707.85099514038</v>
      </c>
      <c r="BB11" s="2">
        <f t="shared" ca="1" si="0"/>
        <v>681095.02387034288</v>
      </c>
      <c r="BC11" s="2">
        <f t="shared" ca="1" si="0"/>
        <v>652716.06454241194</v>
      </c>
      <c r="BD11" s="2">
        <f t="shared" ca="1" si="0"/>
        <v>625519.56185314478</v>
      </c>
      <c r="BE11" s="2">
        <f t="shared" ca="1" si="0"/>
        <v>599456.2467759304</v>
      </c>
      <c r="BF11" s="2">
        <f t="shared" ca="1" si="0"/>
        <v>574478.90316026658</v>
      </c>
      <c r="BG11" s="2">
        <f t="shared" ca="1" si="0"/>
        <v>550542.28219525551</v>
      </c>
      <c r="BH11" s="2">
        <f t="shared" ca="1" si="0"/>
        <v>527603.02043711988</v>
      </c>
      <c r="BI11" s="2">
        <f t="shared" ca="1" si="0"/>
        <v>505619.56125223986</v>
      </c>
      <c r="BJ11" s="2">
        <f t="shared" ca="1" si="0"/>
        <v>484552.07953339652</v>
      </c>
      <c r="BK11" s="2">
        <f t="shared" ca="1" si="0"/>
        <v>464362.4095528383</v>
      </c>
      <c r="BL11" s="2">
        <f t="shared" ca="1" si="0"/>
        <v>445013.97582147003</v>
      </c>
      <c r="BM11" s="2">
        <f t="shared" ca="1" si="0"/>
        <v>426471.72682890878</v>
      </c>
      <c r="BN11" s="2">
        <f t="shared" ca="1" si="0"/>
        <v>408702.07154437091</v>
      </c>
      <c r="BO11" s="2">
        <f t="shared" ca="1" si="0"/>
        <v>391672.81856335542</v>
      </c>
      <c r="BP11" s="2">
        <f t="shared" ca="1" si="0"/>
        <v>375353.11778988229</v>
      </c>
      <c r="BQ11" s="2">
        <f t="shared" ca="1" si="0"/>
        <v>359713.40454863722</v>
      </c>
    </row>
    <row r="12" spans="1:69">
      <c r="D12" s="91" t="s">
        <v>219</v>
      </c>
      <c r="E12" s="2" t="str">
        <f t="shared" ref="E12:BQ12" si="1" xml:space="preserve">  E$22</f>
        <v>Asset Finance drawdown</v>
      </c>
      <c r="F12" s="2">
        <f t="shared" si="1"/>
        <v>0</v>
      </c>
      <c r="G12" s="2" t="str">
        <f t="shared" si="1"/>
        <v>GBP</v>
      </c>
      <c r="H12" s="2">
        <f t="shared" ca="1" si="1"/>
        <v>2450000</v>
      </c>
      <c r="I12" s="2">
        <f t="shared" si="1"/>
        <v>0</v>
      </c>
      <c r="J12" s="2">
        <f t="shared" ca="1" si="1"/>
        <v>0</v>
      </c>
      <c r="K12" s="2">
        <f t="shared" ca="1" si="1"/>
        <v>175000</v>
      </c>
      <c r="L12" s="2">
        <f t="shared" ca="1" si="1"/>
        <v>0</v>
      </c>
      <c r="M12" s="2">
        <f t="shared" ca="1" si="1"/>
        <v>0</v>
      </c>
      <c r="N12" s="2">
        <f t="shared" ca="1" si="1"/>
        <v>0</v>
      </c>
      <c r="O12" s="2">
        <f t="shared" ca="1" si="1"/>
        <v>350000</v>
      </c>
      <c r="P12" s="2">
        <f t="shared" ca="1" si="1"/>
        <v>0</v>
      </c>
      <c r="Q12" s="2">
        <f t="shared" ca="1" si="1"/>
        <v>0</v>
      </c>
      <c r="R12" s="2">
        <f t="shared" ca="1" si="1"/>
        <v>0</v>
      </c>
      <c r="S12" s="2">
        <f t="shared" ca="1" si="1"/>
        <v>350000</v>
      </c>
      <c r="T12" s="2">
        <f t="shared" ca="1" si="1"/>
        <v>0</v>
      </c>
      <c r="U12" s="2">
        <f t="shared" ca="1" si="1"/>
        <v>350000</v>
      </c>
      <c r="V12" s="2">
        <f t="shared" ca="1" si="1"/>
        <v>350000</v>
      </c>
      <c r="W12" s="2">
        <f t="shared" ca="1" si="1"/>
        <v>0</v>
      </c>
      <c r="X12" s="2">
        <f t="shared" ca="1" si="1"/>
        <v>350000</v>
      </c>
      <c r="Y12" s="2">
        <f t="shared" ca="1" si="1"/>
        <v>0</v>
      </c>
      <c r="Z12" s="2">
        <f t="shared" ca="1" si="1"/>
        <v>0</v>
      </c>
      <c r="AA12" s="2">
        <f t="shared" ca="1" si="1"/>
        <v>0</v>
      </c>
      <c r="AB12" s="2">
        <f t="shared" ca="1" si="1"/>
        <v>0</v>
      </c>
      <c r="AC12" s="2">
        <f t="shared" ca="1" si="1"/>
        <v>0</v>
      </c>
      <c r="AD12" s="2">
        <f t="shared" ca="1" si="1"/>
        <v>0</v>
      </c>
      <c r="AE12" s="2">
        <f t="shared" ca="1" si="1"/>
        <v>175000</v>
      </c>
      <c r="AF12" s="2">
        <f t="shared" ca="1" si="1"/>
        <v>175000</v>
      </c>
      <c r="AG12" s="2">
        <f t="shared" ca="1" si="1"/>
        <v>175000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91" t="s">
        <v>219</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91" t="s">
        <v>300</v>
      </c>
      <c r="E14" s="2" t="str">
        <f t="shared" ref="E14:BQ14" si="3" xml:space="preserve">  E$28</f>
        <v>Asset Finance principal repayment POS</v>
      </c>
      <c r="F14" s="2">
        <f t="shared" si="3"/>
        <v>0</v>
      </c>
      <c r="G14" s="2" t="str">
        <f t="shared" si="3"/>
        <v>GBP</v>
      </c>
      <c r="H14" s="2">
        <f t="shared" ca="1" si="3"/>
        <v>2105274.653974223</v>
      </c>
      <c r="I14" s="2">
        <f t="shared" si="3"/>
        <v>0</v>
      </c>
      <c r="J14" s="2">
        <f t="shared" si="3"/>
        <v>0</v>
      </c>
      <c r="K14" s="2">
        <f t="shared" ca="1" si="3"/>
        <v>0</v>
      </c>
      <c r="L14" s="2">
        <f t="shared" ca="1" si="3"/>
        <v>7291.666666666667</v>
      </c>
      <c r="M14" s="2">
        <f t="shared" ca="1" si="3"/>
        <v>6987.8472222222226</v>
      </c>
      <c r="N14" s="2">
        <f t="shared" ca="1" si="3"/>
        <v>6696.6869212962965</v>
      </c>
      <c r="O14" s="2">
        <f t="shared" ca="1" si="3"/>
        <v>6417.658299575618</v>
      </c>
      <c r="P14" s="2">
        <f t="shared" ca="1" si="3"/>
        <v>20733.589203759966</v>
      </c>
      <c r="Q14" s="2">
        <f t="shared" ca="1" si="3"/>
        <v>19869.689653603302</v>
      </c>
      <c r="R14" s="2">
        <f t="shared" ca="1" si="3"/>
        <v>19041.785918036498</v>
      </c>
      <c r="S14" s="2">
        <f t="shared" ca="1" si="3"/>
        <v>18248.378171451644</v>
      </c>
      <c r="T14" s="2">
        <f t="shared" ca="1" si="3"/>
        <v>32071.362414307823</v>
      </c>
      <c r="U14" s="2">
        <f t="shared" ca="1" si="3"/>
        <v>30735.055647044999</v>
      </c>
      <c r="V14" s="2">
        <f t="shared" ca="1" si="3"/>
        <v>44037.761661751465</v>
      </c>
      <c r="W14" s="2">
        <f t="shared" ca="1" si="3"/>
        <v>56786.188259178489</v>
      </c>
      <c r="X14" s="2">
        <f t="shared" ca="1" si="3"/>
        <v>54420.097081712716</v>
      </c>
      <c r="Y14" s="2">
        <f t="shared" ca="1" si="3"/>
        <v>66735.926369974695</v>
      </c>
      <c r="Z14" s="2">
        <f t="shared" ca="1" si="3"/>
        <v>63955.262771225745</v>
      </c>
      <c r="AA14" s="2">
        <f t="shared" ca="1" si="3"/>
        <v>61290.46015575801</v>
      </c>
      <c r="AB14" s="2">
        <f t="shared" ca="1" si="3"/>
        <v>58736.690982601423</v>
      </c>
      <c r="AC14" s="2">
        <f t="shared" ca="1" si="3"/>
        <v>56289.328858326364</v>
      </c>
      <c r="AD14" s="2">
        <f t="shared" ca="1" si="3"/>
        <v>53943.940155896096</v>
      </c>
      <c r="AE14" s="2">
        <f t="shared" ca="1" si="3"/>
        <v>51696.275982733758</v>
      </c>
      <c r="AF14" s="2">
        <f t="shared" ca="1" si="3"/>
        <v>56833.931150119846</v>
      </c>
      <c r="AG14" s="2">
        <f t="shared" ca="1" si="3"/>
        <v>61757.517352198192</v>
      </c>
      <c r="AH14" s="2">
        <f t="shared" ca="1" si="3"/>
        <v>66475.954129189937</v>
      </c>
      <c r="AI14" s="2">
        <f t="shared" ca="1" si="3"/>
        <v>63706.122707140348</v>
      </c>
      <c r="AJ14" s="2">
        <f t="shared" ca="1" si="3"/>
        <v>61051.700927676167</v>
      </c>
      <c r="AK14" s="2">
        <f t="shared" ca="1" si="3"/>
        <v>58507.88005568966</v>
      </c>
      <c r="AL14" s="2">
        <f t="shared" ca="1" si="3"/>
        <v>56070.051720035925</v>
      </c>
      <c r="AM14" s="2">
        <f t="shared" ca="1" si="3"/>
        <v>53733.799565034424</v>
      </c>
      <c r="AN14" s="2">
        <f t="shared" ca="1" si="3"/>
        <v>51494.891249824657</v>
      </c>
      <c r="AO14" s="2">
        <f t="shared" ca="1" si="3"/>
        <v>49349.270781081963</v>
      </c>
      <c r="AP14" s="2">
        <f t="shared" ca="1" si="3"/>
        <v>47293.051165203557</v>
      </c>
      <c r="AQ14" s="2">
        <f t="shared" ca="1" si="3"/>
        <v>45322.507366653408</v>
      </c>
      <c r="AR14" s="2">
        <f t="shared" ca="1" si="3"/>
        <v>43434.069559709511</v>
      </c>
      <c r="AS14" s="2">
        <f t="shared" ca="1" si="3"/>
        <v>41624.316661388286</v>
      </c>
      <c r="AT14" s="2">
        <f t="shared" ca="1" si="3"/>
        <v>39889.970133830437</v>
      </c>
      <c r="AU14" s="2">
        <f t="shared" ca="1" si="3"/>
        <v>38227.888044920837</v>
      </c>
      <c r="AV14" s="2">
        <f t="shared" ca="1" si="3"/>
        <v>36635.059376382465</v>
      </c>
      <c r="AW14" s="2">
        <f t="shared" ca="1" si="3"/>
        <v>35108.598569033195</v>
      </c>
      <c r="AX14" s="2">
        <f t="shared" ca="1" si="3"/>
        <v>33645.740295323478</v>
      </c>
      <c r="AY14" s="2">
        <f t="shared" ca="1" si="3"/>
        <v>32243.834449685004</v>
      </c>
      <c r="AZ14" s="2">
        <f t="shared" ca="1" si="3"/>
        <v>30900.341347614798</v>
      </c>
      <c r="BA14" s="2">
        <f t="shared" ca="1" si="3"/>
        <v>29612.827124797517</v>
      </c>
      <c r="BB14" s="2">
        <f t="shared" ca="1" si="3"/>
        <v>28378.959327930952</v>
      </c>
      <c r="BC14" s="2">
        <f t="shared" ca="1" si="3"/>
        <v>27196.502689267163</v>
      </c>
      <c r="BD14" s="2">
        <f t="shared" ca="1" si="3"/>
        <v>26063.315077214367</v>
      </c>
      <c r="BE14" s="2">
        <f t="shared" ca="1" si="3"/>
        <v>24977.343615663765</v>
      </c>
      <c r="BF14" s="2">
        <f t="shared" ca="1" si="3"/>
        <v>23936.620965011109</v>
      </c>
      <c r="BG14" s="2">
        <f t="shared" ca="1" si="3"/>
        <v>22939.261758135646</v>
      </c>
      <c r="BH14" s="2">
        <f t="shared" ca="1" si="3"/>
        <v>21983.459184879994</v>
      </c>
      <c r="BI14" s="2">
        <f t="shared" ca="1" si="3"/>
        <v>21067.481718843326</v>
      </c>
      <c r="BJ14" s="2">
        <f t="shared" ca="1" si="3"/>
        <v>20189.669980558188</v>
      </c>
      <c r="BK14" s="2">
        <f t="shared" ca="1" si="3"/>
        <v>19348.433731368263</v>
      </c>
      <c r="BL14" s="2">
        <f t="shared" ca="1" si="3"/>
        <v>18542.24899256125</v>
      </c>
      <c r="BM14" s="2">
        <f t="shared" ca="1" si="3"/>
        <v>17769.655284537865</v>
      </c>
      <c r="BN14" s="2">
        <f t="shared" ca="1" si="3"/>
        <v>17029.252981015456</v>
      </c>
      <c r="BO14" s="2">
        <f t="shared" ca="1" si="3"/>
        <v>16319.700773473143</v>
      </c>
      <c r="BP14" s="2">
        <f t="shared" ca="1" si="3"/>
        <v>15639.713241245096</v>
      </c>
      <c r="BQ14" s="2">
        <f t="shared" ca="1" si="3"/>
        <v>14988.058522859885</v>
      </c>
    </row>
    <row r="15" spans="1:69" s="81" customFormat="1">
      <c r="A15" s="63"/>
      <c r="B15" s="63"/>
      <c r="C15" s="88"/>
      <c r="D15" s="90"/>
      <c r="E15" s="33" t="s">
        <v>135</v>
      </c>
      <c r="F15" s="33"/>
      <c r="G15" s="33" t="s">
        <v>258</v>
      </c>
      <c r="H15" s="33"/>
      <c r="I15" s="11">
        <f t="shared" ref="I15:BQ15" si="4" xml:space="preserve">  IF( I10 = 0, $F9, I11 + I12 + I13 - I14 )</f>
        <v>0</v>
      </c>
      <c r="J15" s="11">
        <f t="shared" ca="1" si="4"/>
        <v>0</v>
      </c>
      <c r="K15" s="11">
        <f t="shared" ca="1" si="4"/>
        <v>175000</v>
      </c>
      <c r="L15" s="11">
        <f t="shared" ca="1" si="4"/>
        <v>167708.33333333334</v>
      </c>
      <c r="M15" s="11">
        <f t="shared" ca="1" si="4"/>
        <v>160720.48611111112</v>
      </c>
      <c r="N15" s="11">
        <f t="shared" ca="1" si="4"/>
        <v>154023.79918981483</v>
      </c>
      <c r="O15" s="11">
        <f t="shared" ca="1" si="4"/>
        <v>497606.14089023921</v>
      </c>
      <c r="P15" s="11">
        <f t="shared" ca="1" si="4"/>
        <v>476872.55168647924</v>
      </c>
      <c r="Q15" s="11">
        <f t="shared" ca="1" si="4"/>
        <v>457002.86203287594</v>
      </c>
      <c r="R15" s="11">
        <f t="shared" ca="1" si="4"/>
        <v>437961.07611483947</v>
      </c>
      <c r="S15" s="11">
        <f t="shared" ca="1" si="4"/>
        <v>769712.69794338779</v>
      </c>
      <c r="T15" s="11">
        <f t="shared" ca="1" si="4"/>
        <v>737641.33552908001</v>
      </c>
      <c r="U15" s="11">
        <f t="shared" ca="1" si="4"/>
        <v>1056906.2798820352</v>
      </c>
      <c r="V15" s="11">
        <f t="shared" ca="1" si="4"/>
        <v>1362868.5182202838</v>
      </c>
      <c r="W15" s="11">
        <f t="shared" ca="1" si="4"/>
        <v>1306082.3299611052</v>
      </c>
      <c r="X15" s="11">
        <f t="shared" ca="1" si="4"/>
        <v>1601662.2328793926</v>
      </c>
      <c r="Y15" s="11">
        <f t="shared" ca="1" si="4"/>
        <v>1534926.3065094179</v>
      </c>
      <c r="Z15" s="11">
        <f t="shared" ca="1" si="4"/>
        <v>1470971.0437381922</v>
      </c>
      <c r="AA15" s="11">
        <f t="shared" ca="1" si="4"/>
        <v>1409680.5835824341</v>
      </c>
      <c r="AB15" s="11">
        <f t="shared" ca="1" si="4"/>
        <v>1350943.8925998327</v>
      </c>
      <c r="AC15" s="11">
        <f t="shared" ca="1" si="4"/>
        <v>1294654.5637415063</v>
      </c>
      <c r="AD15" s="11">
        <f t="shared" ca="1" si="4"/>
        <v>1240710.6235856102</v>
      </c>
      <c r="AE15" s="11">
        <f t="shared" ca="1" si="4"/>
        <v>1364014.3476028764</v>
      </c>
      <c r="AF15" s="11">
        <f t="shared" ca="1" si="4"/>
        <v>1482180.4164527566</v>
      </c>
      <c r="AG15" s="11">
        <f t="shared" ca="1" si="4"/>
        <v>1595422.8991005584</v>
      </c>
      <c r="AH15" s="11">
        <f t="shared" ca="1" si="4"/>
        <v>1528946.9449713684</v>
      </c>
      <c r="AI15" s="11">
        <f t="shared" ca="1" si="4"/>
        <v>1465240.822264228</v>
      </c>
      <c r="AJ15" s="11">
        <f t="shared" ca="1" si="4"/>
        <v>1404189.1213365518</v>
      </c>
      <c r="AK15" s="11">
        <f t="shared" ca="1" si="4"/>
        <v>1345681.2412808621</v>
      </c>
      <c r="AL15" s="11">
        <f t="shared" ca="1" si="4"/>
        <v>1289611.1895608262</v>
      </c>
      <c r="AM15" s="11">
        <f t="shared" ca="1" si="4"/>
        <v>1235877.3899957917</v>
      </c>
      <c r="AN15" s="11">
        <f t="shared" ca="1" si="4"/>
        <v>1184382.4987459672</v>
      </c>
      <c r="AO15" s="11">
        <f t="shared" ca="1" si="4"/>
        <v>1135033.2279648853</v>
      </c>
      <c r="AP15" s="11">
        <f t="shared" ca="1" si="4"/>
        <v>1087740.1767996817</v>
      </c>
      <c r="AQ15" s="11">
        <f t="shared" ca="1" si="4"/>
        <v>1042417.6694330283</v>
      </c>
      <c r="AR15" s="11">
        <f t="shared" ca="1" si="4"/>
        <v>998983.5998733188</v>
      </c>
      <c r="AS15" s="11">
        <f t="shared" ca="1" si="4"/>
        <v>957359.28321193054</v>
      </c>
      <c r="AT15" s="11">
        <f t="shared" ca="1" si="4"/>
        <v>917469.31307810009</v>
      </c>
      <c r="AU15" s="11">
        <f t="shared" ca="1" si="4"/>
        <v>879241.42503317923</v>
      </c>
      <c r="AV15" s="11">
        <f t="shared" ca="1" si="4"/>
        <v>842606.36565679673</v>
      </c>
      <c r="AW15" s="11">
        <f t="shared" ca="1" si="4"/>
        <v>807497.76708776352</v>
      </c>
      <c r="AX15" s="11">
        <f t="shared" ca="1" si="4"/>
        <v>773852.0267924401</v>
      </c>
      <c r="AY15" s="11">
        <f t="shared" ca="1" si="4"/>
        <v>741608.19234275515</v>
      </c>
      <c r="AZ15" s="11">
        <f t="shared" ca="1" si="4"/>
        <v>710707.85099514038</v>
      </c>
      <c r="BA15" s="11">
        <f t="shared" ca="1" si="4"/>
        <v>681095.02387034288</v>
      </c>
      <c r="BB15" s="11">
        <f t="shared" ca="1" si="4"/>
        <v>652716.06454241194</v>
      </c>
      <c r="BC15" s="11">
        <f t="shared" ca="1" si="4"/>
        <v>625519.56185314478</v>
      </c>
      <c r="BD15" s="11">
        <f t="shared" ca="1" si="4"/>
        <v>599456.2467759304</v>
      </c>
      <c r="BE15" s="11">
        <f t="shared" ca="1" si="4"/>
        <v>574478.90316026658</v>
      </c>
      <c r="BF15" s="11">
        <f t="shared" ca="1" si="4"/>
        <v>550542.28219525551</v>
      </c>
      <c r="BG15" s="11">
        <f t="shared" ca="1" si="4"/>
        <v>527603.02043711988</v>
      </c>
      <c r="BH15" s="11">
        <f t="shared" ca="1" si="4"/>
        <v>505619.56125223986</v>
      </c>
      <c r="BI15" s="11">
        <f t="shared" ca="1" si="4"/>
        <v>484552.07953339652</v>
      </c>
      <c r="BJ15" s="11">
        <f t="shared" ca="1" si="4"/>
        <v>464362.4095528383</v>
      </c>
      <c r="BK15" s="11">
        <f t="shared" ca="1" si="4"/>
        <v>445013.97582147003</v>
      </c>
      <c r="BL15" s="11">
        <f t="shared" ca="1" si="4"/>
        <v>426471.72682890878</v>
      </c>
      <c r="BM15" s="11">
        <f t="shared" ca="1" si="4"/>
        <v>408702.07154437091</v>
      </c>
      <c r="BN15" s="11">
        <f t="shared" ca="1" si="4"/>
        <v>391672.81856335542</v>
      </c>
      <c r="BO15" s="11">
        <f t="shared" ca="1" si="4"/>
        <v>375353.11778988229</v>
      </c>
      <c r="BP15" s="11">
        <f t="shared" ca="1" si="4"/>
        <v>359713.40454863722</v>
      </c>
      <c r="BQ15" s="11">
        <f t="shared" ca="1" si="4"/>
        <v>344725.34602577734</v>
      </c>
    </row>
    <row r="17" spans="1:69">
      <c r="B17" s="25" t="s">
        <v>15</v>
      </c>
    </row>
    <row r="18" spans="1:69" outlineLevel="1">
      <c r="A18" s="18"/>
      <c r="B18" s="18"/>
      <c r="C18" s="28"/>
      <c r="D18" s="27"/>
      <c r="E18" s="4" t="str">
        <f xml:space="preserve">  InpC!E$34</f>
        <v>Supplier price per unit</v>
      </c>
      <c r="F18" s="4">
        <f xml:space="preserve">  InpC!F$34</f>
        <v>35</v>
      </c>
      <c r="G18" s="4" t="str">
        <f xml:space="preserve">  InpC!G$34</f>
        <v>GBP</v>
      </c>
      <c r="M18" s="2"/>
    </row>
    <row r="19" spans="1:69" outlineLevel="1">
      <c r="A19" s="18"/>
      <c r="B19" s="18"/>
      <c r="C19" s="28"/>
      <c r="D19" s="27"/>
      <c r="E19" s="42" t="str">
        <f xml:space="preserve">  InpC!E$78</f>
        <v>Asset Finance Advance %</v>
      </c>
      <c r="F19" s="42">
        <f xml:space="preserve">  InpC!F$78</f>
        <v>1</v>
      </c>
      <c r="G19" s="42" t="str">
        <f xml:space="preserve">  InpC!G$78</f>
        <v>%</v>
      </c>
      <c r="M19" s="57"/>
    </row>
    <row r="20" spans="1:69" outlineLevel="1">
      <c r="A20" s="18"/>
      <c r="B20" s="18"/>
      <c r="C20" s="28"/>
      <c r="D20" s="27"/>
      <c r="E20" s="4" t="str">
        <f xml:space="preserve">  Inventory!E$41</f>
        <v>Units delivered</v>
      </c>
      <c r="F20" s="4">
        <f xml:space="preserve">  Inventory!F$41</f>
        <v>0</v>
      </c>
      <c r="G20" s="4" t="str">
        <f xml:space="preserve">  Inventory!G$41</f>
        <v>Units</v>
      </c>
      <c r="H20" s="4">
        <f ca="1" xml:space="preserve">  Inventory!H$41</f>
        <v>1135000</v>
      </c>
      <c r="I20" s="4">
        <f xml:space="preserve">  Inventory!I$41</f>
        <v>0</v>
      </c>
      <c r="J20" s="4">
        <f ca="1" xml:space="preserve">  Inventory!J$41</f>
        <v>0</v>
      </c>
      <c r="K20" s="4">
        <f ca="1" xml:space="preserve">  Inventory!K$41</f>
        <v>5000</v>
      </c>
      <c r="L20" s="4">
        <f ca="1" xml:space="preserve">  Inventory!L$41</f>
        <v>0</v>
      </c>
      <c r="M20" s="4">
        <f ca="1" xml:space="preserve">  Inventory!M$41</f>
        <v>0</v>
      </c>
      <c r="N20" s="4">
        <f ca="1" xml:space="preserve">  Inventory!N$41</f>
        <v>0</v>
      </c>
      <c r="O20" s="4">
        <f ca="1" xml:space="preserve">  Inventory!O$41</f>
        <v>10000</v>
      </c>
      <c r="P20" s="4">
        <f ca="1" xml:space="preserve">  Inventory!P$41</f>
        <v>0</v>
      </c>
      <c r="Q20" s="4">
        <f ca="1" xml:space="preserve">  Inventory!Q$41</f>
        <v>0</v>
      </c>
      <c r="R20" s="4">
        <f ca="1" xml:space="preserve">  Inventory!R$41</f>
        <v>0</v>
      </c>
      <c r="S20" s="4">
        <f ca="1" xml:space="preserve">  Inventory!S$41</f>
        <v>10000</v>
      </c>
      <c r="T20" s="4">
        <f ca="1" xml:space="preserve">  Inventory!T$41</f>
        <v>0</v>
      </c>
      <c r="U20" s="4">
        <f ca="1" xml:space="preserve">  Inventory!U$41</f>
        <v>10000</v>
      </c>
      <c r="V20" s="4">
        <f ca="1" xml:space="preserve">  Inventory!V$41</f>
        <v>10000</v>
      </c>
      <c r="W20" s="4">
        <f ca="1" xml:space="preserve">  Inventory!W$41</f>
        <v>0</v>
      </c>
      <c r="X20" s="4">
        <f ca="1" xml:space="preserve">  Inventory!X$41</f>
        <v>10000</v>
      </c>
      <c r="Y20" s="4">
        <f ca="1" xml:space="preserve">  Inventory!Y$41</f>
        <v>0</v>
      </c>
      <c r="Z20" s="4">
        <f ca="1" xml:space="preserve">  Inventory!Z$41</f>
        <v>0</v>
      </c>
      <c r="AA20" s="4">
        <f ca="1" xml:space="preserve">  Inventory!AA$41</f>
        <v>0</v>
      </c>
      <c r="AB20" s="4">
        <f ca="1" xml:space="preserve">  Inventory!AB$41</f>
        <v>0</v>
      </c>
      <c r="AC20" s="4">
        <f ca="1" xml:space="preserve">  Inventory!AC$41</f>
        <v>0</v>
      </c>
      <c r="AD20" s="4">
        <f ca="1" xml:space="preserve">  Inventory!AD$41</f>
        <v>0</v>
      </c>
      <c r="AE20" s="4">
        <f ca="1" xml:space="preserve">  Inventory!AE$41</f>
        <v>5000</v>
      </c>
      <c r="AF20" s="4">
        <f ca="1" xml:space="preserve">  Inventory!AF$41</f>
        <v>5000</v>
      </c>
      <c r="AG20" s="4">
        <f ca="1" xml:space="preserve">  Inventory!AG$41</f>
        <v>5000</v>
      </c>
      <c r="AH20" s="4">
        <f ca="1" xml:space="preserve">  Inventory!AH$41</f>
        <v>10000</v>
      </c>
      <c r="AI20" s="4">
        <f ca="1" xml:space="preserve">  Inventory!AI$41</f>
        <v>10000</v>
      </c>
      <c r="AJ20" s="4">
        <f ca="1" xml:space="preserve">  Inventory!AJ$41</f>
        <v>5000</v>
      </c>
      <c r="AK20" s="4">
        <f ca="1" xml:space="preserve">  Inventory!AK$41</f>
        <v>10000</v>
      </c>
      <c r="AL20" s="4">
        <f ca="1" xml:space="preserve">  Inventory!AL$41</f>
        <v>10000</v>
      </c>
      <c r="AM20" s="4">
        <f ca="1" xml:space="preserve">  Inventory!AM$41</f>
        <v>10000</v>
      </c>
      <c r="AN20" s="4">
        <f ca="1" xml:space="preserve">  Inventory!AN$41</f>
        <v>10000</v>
      </c>
      <c r="AO20" s="4">
        <f ca="1" xml:space="preserve">  Inventory!AO$41</f>
        <v>15000</v>
      </c>
      <c r="AP20" s="4">
        <f ca="1" xml:space="preserve">  Inventory!AP$41</f>
        <v>10000</v>
      </c>
      <c r="AQ20" s="4">
        <f ca="1" xml:space="preserve">  Inventory!AQ$41</f>
        <v>15000</v>
      </c>
      <c r="AR20" s="4">
        <f ca="1" xml:space="preserve">  Inventory!AR$41</f>
        <v>15000</v>
      </c>
      <c r="AS20" s="4">
        <f ca="1" xml:space="preserve">  Inventory!AS$41</f>
        <v>15000</v>
      </c>
      <c r="AT20" s="4">
        <f ca="1" xml:space="preserve">  Inventory!AT$41</f>
        <v>20000</v>
      </c>
      <c r="AU20" s="4">
        <f ca="1" xml:space="preserve">  Inventory!AU$41</f>
        <v>20000</v>
      </c>
      <c r="AV20" s="4">
        <f ca="1" xml:space="preserve">  Inventory!AV$41</f>
        <v>20000</v>
      </c>
      <c r="AW20" s="4">
        <f ca="1" xml:space="preserve">  Inventory!AW$41</f>
        <v>25000</v>
      </c>
      <c r="AX20" s="4">
        <f ca="1" xml:space="preserve">  Inventory!AX$41</f>
        <v>20000</v>
      </c>
      <c r="AY20" s="4">
        <f ca="1" xml:space="preserve">  Inventory!AY$41</f>
        <v>25000</v>
      </c>
      <c r="AZ20" s="4">
        <f ca="1" xml:space="preserve">  Inventory!AZ$41</f>
        <v>30000</v>
      </c>
      <c r="BA20" s="4">
        <f ca="1" xml:space="preserve">  Inventory!BA$41</f>
        <v>25000</v>
      </c>
      <c r="BB20" s="4">
        <f ca="1" xml:space="preserve">  Inventory!BB$41</f>
        <v>30000</v>
      </c>
      <c r="BC20" s="4">
        <f ca="1" xml:space="preserve">  Inventory!BC$41</f>
        <v>30000</v>
      </c>
      <c r="BD20" s="4">
        <f ca="1" xml:space="preserve">  Inventory!BD$41</f>
        <v>35000</v>
      </c>
      <c r="BE20" s="4">
        <f ca="1" xml:space="preserve">  Inventory!BE$41</f>
        <v>35000</v>
      </c>
      <c r="BF20" s="4">
        <f ca="1" xml:space="preserve">  Inventory!BF$41</f>
        <v>35000</v>
      </c>
      <c r="BG20" s="4">
        <f ca="1" xml:space="preserve">  Inventory!BG$41</f>
        <v>40000</v>
      </c>
      <c r="BH20" s="4">
        <f ca="1" xml:space="preserve">  Inventory!BH$41</f>
        <v>40000</v>
      </c>
      <c r="BI20" s="4">
        <f ca="1" xml:space="preserve">  Inventory!BI$41</f>
        <v>45000</v>
      </c>
      <c r="BJ20" s="4">
        <f ca="1" xml:space="preserve">  Inventory!BJ$41</f>
        <v>45000</v>
      </c>
      <c r="BK20" s="4">
        <f ca="1" xml:space="preserve">  Inventory!BK$41</f>
        <v>50000</v>
      </c>
      <c r="BL20" s="4">
        <f ca="1" xml:space="preserve">  Inventory!BL$41</f>
        <v>50000</v>
      </c>
      <c r="BM20" s="4">
        <f ca="1" xml:space="preserve">  Inventory!BM$41</f>
        <v>55000</v>
      </c>
      <c r="BN20" s="4">
        <f ca="1" xml:space="preserve">  Inventory!BN$41</f>
        <v>60000</v>
      </c>
      <c r="BO20" s="4">
        <f ca="1" xml:space="preserve">  Inventory!BO$41</f>
        <v>60000</v>
      </c>
      <c r="BP20" s="4">
        <f ca="1" xml:space="preserve">  Inventory!BP$41</f>
        <v>65000</v>
      </c>
      <c r="BQ20" s="4">
        <f ca="1" xml:space="preserve">  Inventory!BQ$41</f>
        <v>70000</v>
      </c>
    </row>
    <row r="21" spans="1:69" outlineLevel="1">
      <c r="A21" s="18"/>
      <c r="B21" s="18"/>
      <c r="C21" s="28"/>
      <c r="D21" s="27"/>
      <c r="E21" s="4" t="str">
        <f xml:space="preserve">  Time!E$251</f>
        <v>Asset Finance Enabled flag</v>
      </c>
      <c r="F21" s="4">
        <f xml:space="preserve">  Time!F$251</f>
        <v>0</v>
      </c>
      <c r="G21" s="4" t="str">
        <f xml:space="preserve">  Time!G$251</f>
        <v>flag</v>
      </c>
      <c r="H21" s="4">
        <f xml:space="preserve">  Time!H$251</f>
        <v>24</v>
      </c>
      <c r="I21" s="4">
        <f xml:space="preserve">  Time!I$251</f>
        <v>0</v>
      </c>
      <c r="J21" s="4">
        <f xml:space="preserve">  Time!J$251</f>
        <v>1</v>
      </c>
      <c r="K21" s="4">
        <f xml:space="preserve">  Time!K$251</f>
        <v>1</v>
      </c>
      <c r="L21" s="4">
        <f xml:space="preserve">  Time!L$251</f>
        <v>1</v>
      </c>
      <c r="M21" s="4">
        <f xml:space="preserve">  Time!M$251</f>
        <v>1</v>
      </c>
      <c r="N21" s="4">
        <f xml:space="preserve">  Time!N$251</f>
        <v>1</v>
      </c>
      <c r="O21" s="4">
        <f xml:space="preserve">  Time!O$251</f>
        <v>1</v>
      </c>
      <c r="P21" s="4">
        <f xml:space="preserve">  Time!P$251</f>
        <v>1</v>
      </c>
      <c r="Q21" s="4">
        <f xml:space="preserve">  Time!Q$251</f>
        <v>1</v>
      </c>
      <c r="R21" s="4">
        <f xml:space="preserve">  Time!R$251</f>
        <v>1</v>
      </c>
      <c r="S21" s="4">
        <f xml:space="preserve">  Time!S$251</f>
        <v>1</v>
      </c>
      <c r="T21" s="4">
        <f xml:space="preserve">  Time!T$251</f>
        <v>1</v>
      </c>
      <c r="U21" s="4">
        <f xml:space="preserve">  Time!U$251</f>
        <v>1</v>
      </c>
      <c r="V21" s="4">
        <f xml:space="preserve">  Time!V$251</f>
        <v>1</v>
      </c>
      <c r="W21" s="4">
        <f xml:space="preserve">  Time!W$251</f>
        <v>1</v>
      </c>
      <c r="X21" s="4">
        <f xml:space="preserve">  Time!X$251</f>
        <v>1</v>
      </c>
      <c r="Y21" s="4">
        <f xml:space="preserve">  Time!Y$251</f>
        <v>1</v>
      </c>
      <c r="Z21" s="4">
        <f xml:space="preserve">  Time!Z$251</f>
        <v>1</v>
      </c>
      <c r="AA21" s="4">
        <f xml:space="preserve">  Time!AA$251</f>
        <v>1</v>
      </c>
      <c r="AB21" s="4">
        <f xml:space="preserve">  Time!AB$251</f>
        <v>1</v>
      </c>
      <c r="AC21" s="4">
        <f xml:space="preserve">  Time!AC$251</f>
        <v>1</v>
      </c>
      <c r="AD21" s="4">
        <f xml:space="preserve">  Time!AD$251</f>
        <v>1</v>
      </c>
      <c r="AE21" s="4">
        <f xml:space="preserve">  Time!AE$251</f>
        <v>1</v>
      </c>
      <c r="AF21" s="4">
        <f xml:space="preserve">  Time!AF$251</f>
        <v>1</v>
      </c>
      <c r="AG21" s="4">
        <f xml:space="preserve">  Time!AG$251</f>
        <v>1</v>
      </c>
      <c r="AH21" s="4">
        <f xml:space="preserve">  Time!AH$251</f>
        <v>0</v>
      </c>
      <c r="AI21" s="4">
        <f xml:space="preserve">  Time!AI$251</f>
        <v>0</v>
      </c>
      <c r="AJ21" s="4">
        <f xml:space="preserve">  Time!AJ$251</f>
        <v>0</v>
      </c>
      <c r="AK21" s="4">
        <f xml:space="preserve">  Time!AK$251</f>
        <v>0</v>
      </c>
      <c r="AL21" s="4">
        <f xml:space="preserve">  Time!AL$251</f>
        <v>0</v>
      </c>
      <c r="AM21" s="4">
        <f xml:space="preserve">  Time!AM$251</f>
        <v>0</v>
      </c>
      <c r="AN21" s="4">
        <f xml:space="preserve">  Time!AN$251</f>
        <v>0</v>
      </c>
      <c r="AO21" s="4">
        <f xml:space="preserve">  Time!AO$251</f>
        <v>0</v>
      </c>
      <c r="AP21" s="4">
        <f xml:space="preserve">  Time!AP$251</f>
        <v>0</v>
      </c>
      <c r="AQ21" s="4">
        <f xml:space="preserve">  Time!AQ$251</f>
        <v>0</v>
      </c>
      <c r="AR21" s="4">
        <f xml:space="preserve">  Time!AR$251</f>
        <v>0</v>
      </c>
      <c r="AS21" s="4">
        <f xml:space="preserve">  Time!AS$251</f>
        <v>0</v>
      </c>
      <c r="AT21" s="4">
        <f xml:space="preserve">  Time!AT$251</f>
        <v>0</v>
      </c>
      <c r="AU21" s="4">
        <f xml:space="preserve">  Time!AU$251</f>
        <v>0</v>
      </c>
      <c r="AV21" s="4">
        <f xml:space="preserve">  Time!AV$251</f>
        <v>0</v>
      </c>
      <c r="AW21" s="4">
        <f xml:space="preserve">  Time!AW$251</f>
        <v>0</v>
      </c>
      <c r="AX21" s="4">
        <f xml:space="preserve">  Time!AX$251</f>
        <v>0</v>
      </c>
      <c r="AY21" s="4">
        <f xml:space="preserve">  Time!AY$251</f>
        <v>0</v>
      </c>
      <c r="AZ21" s="4">
        <f xml:space="preserve">  Time!AZ$251</f>
        <v>0</v>
      </c>
      <c r="BA21" s="4">
        <f xml:space="preserve">  Time!BA$251</f>
        <v>0</v>
      </c>
      <c r="BB21" s="4">
        <f xml:space="preserve">  Time!BB$251</f>
        <v>0</v>
      </c>
      <c r="BC21" s="4">
        <f xml:space="preserve">  Time!BC$251</f>
        <v>0</v>
      </c>
      <c r="BD21" s="4">
        <f xml:space="preserve">  Time!BD$251</f>
        <v>0</v>
      </c>
      <c r="BE21" s="4">
        <f xml:space="preserve">  Time!BE$251</f>
        <v>0</v>
      </c>
      <c r="BF21" s="4">
        <f xml:space="preserve">  Time!BF$251</f>
        <v>0</v>
      </c>
      <c r="BG21" s="4">
        <f xml:space="preserve">  Time!BG$251</f>
        <v>0</v>
      </c>
      <c r="BH21" s="4">
        <f xml:space="preserve">  Time!BH$251</f>
        <v>0</v>
      </c>
      <c r="BI21" s="4">
        <f xml:space="preserve">  Time!BI$251</f>
        <v>0</v>
      </c>
      <c r="BJ21" s="4">
        <f xml:space="preserve">  Time!BJ$251</f>
        <v>0</v>
      </c>
      <c r="BK21" s="4">
        <f xml:space="preserve">  Time!BK$251</f>
        <v>0</v>
      </c>
      <c r="BL21" s="4">
        <f xml:space="preserve">  Time!BL$251</f>
        <v>0</v>
      </c>
      <c r="BM21" s="4">
        <f xml:space="preserve">  Time!BM$251</f>
        <v>0</v>
      </c>
      <c r="BN21" s="4">
        <f xml:space="preserve">  Time!BN$251</f>
        <v>0</v>
      </c>
      <c r="BO21" s="4">
        <f xml:space="preserve">  Time!BO$251</f>
        <v>0</v>
      </c>
      <c r="BP21" s="4">
        <f xml:space="preserve">  Time!BP$251</f>
        <v>0</v>
      </c>
      <c r="BQ21" s="4">
        <f xml:space="preserve">  Time!BQ$251</f>
        <v>0</v>
      </c>
    </row>
    <row r="22" spans="1:69" outlineLevel="1">
      <c r="A22" s="34"/>
      <c r="B22" s="34"/>
      <c r="C22" s="64"/>
      <c r="D22" s="65"/>
      <c r="E22" s="21" t="s">
        <v>15</v>
      </c>
      <c r="F22" s="21"/>
      <c r="G22" s="21" t="s">
        <v>258</v>
      </c>
      <c r="H22" s="3">
        <f ca="1" xml:space="preserve"> SUM( J22:BQ22 )</f>
        <v>2450000</v>
      </c>
      <c r="I22" s="21"/>
      <c r="J22" s="3">
        <f t="shared" ref="J22:BQ22" ca="1" si="5" xml:space="preserve">  J21 * J20 * $F18 * $F19</f>
        <v>0</v>
      </c>
      <c r="K22" s="3">
        <f t="shared" ca="1" si="5"/>
        <v>175000</v>
      </c>
      <c r="L22" s="3">
        <f t="shared" ca="1" si="5"/>
        <v>0</v>
      </c>
      <c r="M22" s="3">
        <f t="shared" ca="1" si="5"/>
        <v>0</v>
      </c>
      <c r="N22" s="3">
        <f t="shared" ca="1" si="5"/>
        <v>0</v>
      </c>
      <c r="O22" s="3">
        <f t="shared" ca="1" si="5"/>
        <v>350000</v>
      </c>
      <c r="P22" s="3">
        <f t="shared" ca="1" si="5"/>
        <v>0</v>
      </c>
      <c r="Q22" s="3">
        <f t="shared" ca="1" si="5"/>
        <v>0</v>
      </c>
      <c r="R22" s="3">
        <f t="shared" ca="1" si="5"/>
        <v>0</v>
      </c>
      <c r="S22" s="3">
        <f t="shared" ca="1" si="5"/>
        <v>350000</v>
      </c>
      <c r="T22" s="3">
        <f t="shared" ca="1" si="5"/>
        <v>0</v>
      </c>
      <c r="U22" s="3">
        <f t="shared" ca="1" si="5"/>
        <v>350000</v>
      </c>
      <c r="V22" s="3">
        <f t="shared" ca="1" si="5"/>
        <v>350000</v>
      </c>
      <c r="W22" s="3">
        <f t="shared" ca="1" si="5"/>
        <v>0</v>
      </c>
      <c r="X22" s="3">
        <f t="shared" ca="1" si="5"/>
        <v>350000</v>
      </c>
      <c r="Y22" s="3">
        <f t="shared" ca="1" si="5"/>
        <v>0</v>
      </c>
      <c r="Z22" s="3">
        <f t="shared" ca="1" si="5"/>
        <v>0</v>
      </c>
      <c r="AA22" s="3">
        <f t="shared" ca="1" si="5"/>
        <v>0</v>
      </c>
      <c r="AB22" s="3">
        <f t="shared" ca="1" si="5"/>
        <v>0</v>
      </c>
      <c r="AC22" s="3">
        <f t="shared" ca="1" si="5"/>
        <v>0</v>
      </c>
      <c r="AD22" s="3">
        <f t="shared" ca="1" si="5"/>
        <v>0</v>
      </c>
      <c r="AE22" s="3">
        <f t="shared" ca="1" si="5"/>
        <v>175000</v>
      </c>
      <c r="AF22" s="3">
        <f t="shared" ca="1" si="5"/>
        <v>175000</v>
      </c>
      <c r="AG22" s="3">
        <f t="shared" ca="1" si="5"/>
        <v>175000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5" t="s">
        <v>265</v>
      </c>
    </row>
    <row r="26" spans="1:69" outlineLevel="1">
      <c r="A26" s="18"/>
      <c r="B26" s="18"/>
      <c r="C26" s="28"/>
      <c r="D26" s="27"/>
      <c r="E26" s="4" t="str">
        <f xml:space="preserve">  InpC!E$77</f>
        <v>Asset Finance Period</v>
      </c>
      <c r="F26" s="4">
        <f xml:space="preserve">  InpC!F$77</f>
        <v>24</v>
      </c>
      <c r="G26" s="4" t="str">
        <f xml:space="preserve">  InpC!G$77</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0</v>
      </c>
      <c r="L27" s="2">
        <f t="shared" ca="1" si="6"/>
        <v>175000</v>
      </c>
      <c r="M27" s="2">
        <f t="shared" ca="1" si="6"/>
        <v>167708.33333333334</v>
      </c>
      <c r="N27" s="2">
        <f t="shared" ca="1" si="6"/>
        <v>160720.48611111112</v>
      </c>
      <c r="O27" s="2">
        <f t="shared" ca="1" si="6"/>
        <v>154023.79918981483</v>
      </c>
      <c r="P27" s="2">
        <f t="shared" ca="1" si="6"/>
        <v>497606.14089023921</v>
      </c>
      <c r="Q27" s="2">
        <f t="shared" ca="1" si="6"/>
        <v>476872.55168647924</v>
      </c>
      <c r="R27" s="2">
        <f t="shared" ca="1" si="6"/>
        <v>457002.86203287594</v>
      </c>
      <c r="S27" s="2">
        <f t="shared" ca="1" si="6"/>
        <v>437961.07611483947</v>
      </c>
      <c r="T27" s="2">
        <f t="shared" ca="1" si="6"/>
        <v>769712.69794338779</v>
      </c>
      <c r="U27" s="2">
        <f t="shared" ca="1" si="6"/>
        <v>737641.33552908001</v>
      </c>
      <c r="V27" s="2">
        <f t="shared" ca="1" si="6"/>
        <v>1056906.2798820352</v>
      </c>
      <c r="W27" s="2">
        <f t="shared" ca="1" si="6"/>
        <v>1362868.5182202838</v>
      </c>
      <c r="X27" s="2">
        <f t="shared" ca="1" si="6"/>
        <v>1306082.3299611052</v>
      </c>
      <c r="Y27" s="2">
        <f t="shared" ca="1" si="6"/>
        <v>1601662.2328793926</v>
      </c>
      <c r="Z27" s="2">
        <f t="shared" ca="1" si="6"/>
        <v>1534926.3065094179</v>
      </c>
      <c r="AA27" s="2">
        <f t="shared" ca="1" si="6"/>
        <v>1470971.0437381922</v>
      </c>
      <c r="AB27" s="2">
        <f t="shared" ca="1" si="6"/>
        <v>1409680.5835824341</v>
      </c>
      <c r="AC27" s="2">
        <f t="shared" ca="1" si="6"/>
        <v>1350943.8925998327</v>
      </c>
      <c r="AD27" s="2">
        <f t="shared" ca="1" si="6"/>
        <v>1294654.5637415063</v>
      </c>
      <c r="AE27" s="2">
        <f t="shared" ca="1" si="6"/>
        <v>1240710.6235856102</v>
      </c>
      <c r="AF27" s="2">
        <f t="shared" ca="1" si="6"/>
        <v>1364014.3476028764</v>
      </c>
      <c r="AG27" s="2">
        <f t="shared" ca="1" si="6"/>
        <v>1482180.4164527566</v>
      </c>
      <c r="AH27" s="2">
        <f t="shared" ca="1" si="6"/>
        <v>1595422.8991005584</v>
      </c>
      <c r="AI27" s="2">
        <f t="shared" ca="1" si="6"/>
        <v>1528946.9449713684</v>
      </c>
      <c r="AJ27" s="2">
        <f t="shared" ca="1" si="6"/>
        <v>1465240.822264228</v>
      </c>
      <c r="AK27" s="2">
        <f t="shared" ca="1" si="6"/>
        <v>1404189.1213365518</v>
      </c>
      <c r="AL27" s="2">
        <f t="shared" ca="1" si="6"/>
        <v>1345681.2412808621</v>
      </c>
      <c r="AM27" s="2">
        <f t="shared" ca="1" si="6"/>
        <v>1289611.1895608262</v>
      </c>
      <c r="AN27" s="2">
        <f t="shared" ca="1" si="6"/>
        <v>1235877.3899957917</v>
      </c>
      <c r="AO27" s="2">
        <f t="shared" ca="1" si="6"/>
        <v>1184382.4987459672</v>
      </c>
      <c r="AP27" s="2">
        <f t="shared" ca="1" si="6"/>
        <v>1135033.2279648853</v>
      </c>
      <c r="AQ27" s="2">
        <f t="shared" ca="1" si="6"/>
        <v>1087740.1767996817</v>
      </c>
      <c r="AR27" s="2">
        <f t="shared" ca="1" si="6"/>
        <v>1042417.6694330283</v>
      </c>
      <c r="AS27" s="2">
        <f t="shared" ca="1" si="6"/>
        <v>998983.5998733188</v>
      </c>
      <c r="AT27" s="2">
        <f t="shared" ca="1" si="6"/>
        <v>957359.28321193054</v>
      </c>
      <c r="AU27" s="2">
        <f t="shared" ca="1" si="6"/>
        <v>917469.31307810009</v>
      </c>
      <c r="AV27" s="2">
        <f t="shared" ca="1" si="6"/>
        <v>879241.42503317923</v>
      </c>
      <c r="AW27" s="2">
        <f t="shared" ca="1" si="6"/>
        <v>842606.36565679673</v>
      </c>
      <c r="AX27" s="2">
        <f t="shared" ca="1" si="6"/>
        <v>807497.76708776352</v>
      </c>
      <c r="AY27" s="2">
        <f t="shared" ca="1" si="6"/>
        <v>773852.0267924401</v>
      </c>
      <c r="AZ27" s="2">
        <f t="shared" ca="1" si="6"/>
        <v>741608.19234275515</v>
      </c>
      <c r="BA27" s="2">
        <f t="shared" ca="1" si="6"/>
        <v>710707.85099514038</v>
      </c>
      <c r="BB27" s="2">
        <f t="shared" ca="1" si="6"/>
        <v>681095.02387034288</v>
      </c>
      <c r="BC27" s="2">
        <f t="shared" ca="1" si="6"/>
        <v>652716.06454241194</v>
      </c>
      <c r="BD27" s="2">
        <f t="shared" ca="1" si="6"/>
        <v>625519.56185314478</v>
      </c>
      <c r="BE27" s="2">
        <f t="shared" ca="1" si="6"/>
        <v>599456.2467759304</v>
      </c>
      <c r="BF27" s="2">
        <f t="shared" ca="1" si="6"/>
        <v>574478.90316026658</v>
      </c>
      <c r="BG27" s="2">
        <f t="shared" ca="1" si="6"/>
        <v>550542.28219525551</v>
      </c>
      <c r="BH27" s="2">
        <f t="shared" ca="1" si="6"/>
        <v>527603.02043711988</v>
      </c>
      <c r="BI27" s="2">
        <f t="shared" ca="1" si="6"/>
        <v>505619.56125223986</v>
      </c>
      <c r="BJ27" s="2">
        <f t="shared" ca="1" si="6"/>
        <v>484552.07953339652</v>
      </c>
      <c r="BK27" s="2">
        <f t="shared" ca="1" si="6"/>
        <v>464362.4095528383</v>
      </c>
      <c r="BL27" s="2">
        <f t="shared" ca="1" si="6"/>
        <v>445013.97582147003</v>
      </c>
      <c r="BM27" s="2">
        <f t="shared" ca="1" si="6"/>
        <v>426471.72682890878</v>
      </c>
      <c r="BN27" s="2">
        <f t="shared" ca="1" si="6"/>
        <v>408702.07154437091</v>
      </c>
      <c r="BO27" s="2">
        <f t="shared" ca="1" si="6"/>
        <v>391672.81856335542</v>
      </c>
      <c r="BP27" s="2">
        <f t="shared" ca="1" si="6"/>
        <v>375353.11778988229</v>
      </c>
      <c r="BQ27" s="2">
        <f t="shared" ca="1" si="6"/>
        <v>359713.40454863722</v>
      </c>
    </row>
    <row r="28" spans="1:69" outlineLevel="1">
      <c r="E28" s="47" t="s">
        <v>251</v>
      </c>
      <c r="G28" s="47" t="s">
        <v>258</v>
      </c>
      <c r="H28" s="2">
        <f t="shared" ref="H28:H29" ca="1" si="7" xml:space="preserve"> SUM( J28:BQ28 )</f>
        <v>2105274.653974223</v>
      </c>
      <c r="J28" s="2">
        <f t="shared" ref="J28:BQ28" si="8" xml:space="preserve">  J27 / $F26</f>
        <v>0</v>
      </c>
      <c r="K28" s="2">
        <f t="shared" ca="1" si="8"/>
        <v>0</v>
      </c>
      <c r="L28" s="2">
        <f t="shared" ca="1" si="8"/>
        <v>7291.666666666667</v>
      </c>
      <c r="M28" s="2">
        <f t="shared" ca="1" si="8"/>
        <v>6987.8472222222226</v>
      </c>
      <c r="N28" s="2">
        <f t="shared" ca="1" si="8"/>
        <v>6696.6869212962965</v>
      </c>
      <c r="O28" s="2">
        <f t="shared" ca="1" si="8"/>
        <v>6417.658299575618</v>
      </c>
      <c r="P28" s="2">
        <f t="shared" ca="1" si="8"/>
        <v>20733.589203759966</v>
      </c>
      <c r="Q28" s="2">
        <f t="shared" ca="1" si="8"/>
        <v>19869.689653603302</v>
      </c>
      <c r="R28" s="2">
        <f t="shared" ca="1" si="8"/>
        <v>19041.785918036498</v>
      </c>
      <c r="S28" s="2">
        <f t="shared" ca="1" si="8"/>
        <v>18248.378171451644</v>
      </c>
      <c r="T28" s="2">
        <f t="shared" ca="1" si="8"/>
        <v>32071.362414307823</v>
      </c>
      <c r="U28" s="2">
        <f t="shared" ca="1" si="8"/>
        <v>30735.055647044999</v>
      </c>
      <c r="V28" s="2">
        <f t="shared" ca="1" si="8"/>
        <v>44037.761661751465</v>
      </c>
      <c r="W28" s="2">
        <f t="shared" ca="1" si="8"/>
        <v>56786.188259178489</v>
      </c>
      <c r="X28" s="2">
        <f t="shared" ca="1" si="8"/>
        <v>54420.097081712716</v>
      </c>
      <c r="Y28" s="2">
        <f t="shared" ca="1" si="8"/>
        <v>66735.926369974695</v>
      </c>
      <c r="Z28" s="2">
        <f t="shared" ca="1" si="8"/>
        <v>63955.262771225745</v>
      </c>
      <c r="AA28" s="2">
        <f t="shared" ca="1" si="8"/>
        <v>61290.46015575801</v>
      </c>
      <c r="AB28" s="2">
        <f t="shared" ca="1" si="8"/>
        <v>58736.690982601423</v>
      </c>
      <c r="AC28" s="2">
        <f t="shared" ca="1" si="8"/>
        <v>56289.328858326364</v>
      </c>
      <c r="AD28" s="2">
        <f t="shared" ca="1" si="8"/>
        <v>53943.940155896096</v>
      </c>
      <c r="AE28" s="2">
        <f t="shared" ca="1" si="8"/>
        <v>51696.275982733758</v>
      </c>
      <c r="AF28" s="2">
        <f t="shared" ca="1" si="8"/>
        <v>56833.931150119846</v>
      </c>
      <c r="AG28" s="2">
        <f t="shared" ca="1" si="8"/>
        <v>61757.517352198192</v>
      </c>
      <c r="AH28" s="2">
        <f t="shared" ca="1" si="8"/>
        <v>66475.954129189937</v>
      </c>
      <c r="AI28" s="2">
        <f t="shared" ca="1" si="8"/>
        <v>63706.122707140348</v>
      </c>
      <c r="AJ28" s="2">
        <f t="shared" ca="1" si="8"/>
        <v>61051.700927676167</v>
      </c>
      <c r="AK28" s="2">
        <f t="shared" ca="1" si="8"/>
        <v>58507.88005568966</v>
      </c>
      <c r="AL28" s="2">
        <f t="shared" ca="1" si="8"/>
        <v>56070.051720035925</v>
      </c>
      <c r="AM28" s="2">
        <f t="shared" ca="1" si="8"/>
        <v>53733.799565034424</v>
      </c>
      <c r="AN28" s="2">
        <f t="shared" ca="1" si="8"/>
        <v>51494.891249824657</v>
      </c>
      <c r="AO28" s="2">
        <f t="shared" ca="1" si="8"/>
        <v>49349.270781081963</v>
      </c>
      <c r="AP28" s="2">
        <f t="shared" ca="1" si="8"/>
        <v>47293.051165203557</v>
      </c>
      <c r="AQ28" s="2">
        <f t="shared" ca="1" si="8"/>
        <v>45322.507366653408</v>
      </c>
      <c r="AR28" s="2">
        <f t="shared" ca="1" si="8"/>
        <v>43434.069559709511</v>
      </c>
      <c r="AS28" s="2">
        <f t="shared" ca="1" si="8"/>
        <v>41624.316661388286</v>
      </c>
      <c r="AT28" s="2">
        <f t="shared" ca="1" si="8"/>
        <v>39889.970133830437</v>
      </c>
      <c r="AU28" s="2">
        <f t="shared" ca="1" si="8"/>
        <v>38227.888044920837</v>
      </c>
      <c r="AV28" s="2">
        <f t="shared" ca="1" si="8"/>
        <v>36635.059376382465</v>
      </c>
      <c r="AW28" s="2">
        <f t="shared" ca="1" si="8"/>
        <v>35108.598569033195</v>
      </c>
      <c r="AX28" s="2">
        <f t="shared" ca="1" si="8"/>
        <v>33645.740295323478</v>
      </c>
      <c r="AY28" s="2">
        <f t="shared" ca="1" si="8"/>
        <v>32243.834449685004</v>
      </c>
      <c r="AZ28" s="2">
        <f t="shared" ca="1" si="8"/>
        <v>30900.341347614798</v>
      </c>
      <c r="BA28" s="2">
        <f t="shared" ca="1" si="8"/>
        <v>29612.827124797517</v>
      </c>
      <c r="BB28" s="2">
        <f t="shared" ca="1" si="8"/>
        <v>28378.959327930952</v>
      </c>
      <c r="BC28" s="2">
        <f t="shared" ca="1" si="8"/>
        <v>27196.502689267163</v>
      </c>
      <c r="BD28" s="2">
        <f t="shared" ca="1" si="8"/>
        <v>26063.315077214367</v>
      </c>
      <c r="BE28" s="2">
        <f t="shared" ca="1" si="8"/>
        <v>24977.343615663765</v>
      </c>
      <c r="BF28" s="2">
        <f t="shared" ca="1" si="8"/>
        <v>23936.620965011109</v>
      </c>
      <c r="BG28" s="2">
        <f t="shared" ca="1" si="8"/>
        <v>22939.261758135646</v>
      </c>
      <c r="BH28" s="2">
        <f t="shared" ca="1" si="8"/>
        <v>21983.459184879994</v>
      </c>
      <c r="BI28" s="2">
        <f t="shared" ca="1" si="8"/>
        <v>21067.481718843326</v>
      </c>
      <c r="BJ28" s="2">
        <f t="shared" ca="1" si="8"/>
        <v>20189.669980558188</v>
      </c>
      <c r="BK28" s="2">
        <f t="shared" ca="1" si="8"/>
        <v>19348.433731368263</v>
      </c>
      <c r="BL28" s="2">
        <f t="shared" ca="1" si="8"/>
        <v>18542.24899256125</v>
      </c>
      <c r="BM28" s="2">
        <f t="shared" ca="1" si="8"/>
        <v>17769.655284537865</v>
      </c>
      <c r="BN28" s="2">
        <f t="shared" ca="1" si="8"/>
        <v>17029.252981015456</v>
      </c>
      <c r="BO28" s="2">
        <f t="shared" ca="1" si="8"/>
        <v>16319.700773473143</v>
      </c>
      <c r="BP28" s="2">
        <f t="shared" ca="1" si="8"/>
        <v>15639.713241245096</v>
      </c>
      <c r="BQ28" s="2">
        <f t="shared" ca="1" si="8"/>
        <v>14988.058522859885</v>
      </c>
    </row>
    <row r="29" spans="1:69" outlineLevel="1">
      <c r="A29" s="34"/>
      <c r="B29" s="34"/>
      <c r="C29" s="64"/>
      <c r="D29" s="65"/>
      <c r="E29" s="21" t="str">
        <f xml:space="preserve"> LEFT($E$28, LEN($E$28) - 3 )</f>
        <v xml:space="preserve">Asset Finance principal repayment </v>
      </c>
      <c r="F29" s="21"/>
      <c r="G29" s="21" t="str">
        <f xml:space="preserve"> G$28</f>
        <v>GBP</v>
      </c>
      <c r="H29" s="3">
        <f t="shared" ca="1" si="7"/>
        <v>-2105274.653974223</v>
      </c>
      <c r="I29" s="21"/>
      <c r="J29" s="3">
        <f t="shared" ref="J29:BQ29" si="9" xml:space="preserve"> -1 * J28</f>
        <v>0</v>
      </c>
      <c r="K29" s="3">
        <f t="shared" ca="1" si="9"/>
        <v>0</v>
      </c>
      <c r="L29" s="3">
        <f t="shared" ca="1" si="9"/>
        <v>-7291.666666666667</v>
      </c>
      <c r="M29" s="3">
        <f t="shared" ca="1" si="9"/>
        <v>-6987.8472222222226</v>
      </c>
      <c r="N29" s="3">
        <f t="shared" ca="1" si="9"/>
        <v>-6696.6869212962965</v>
      </c>
      <c r="O29" s="3">
        <f t="shared" ca="1" si="9"/>
        <v>-6417.658299575618</v>
      </c>
      <c r="P29" s="3">
        <f t="shared" ca="1" si="9"/>
        <v>-20733.589203759966</v>
      </c>
      <c r="Q29" s="3">
        <f t="shared" ca="1" si="9"/>
        <v>-19869.689653603302</v>
      </c>
      <c r="R29" s="3">
        <f t="shared" ca="1" si="9"/>
        <v>-19041.785918036498</v>
      </c>
      <c r="S29" s="3">
        <f t="shared" ca="1" si="9"/>
        <v>-18248.378171451644</v>
      </c>
      <c r="T29" s="3">
        <f t="shared" ca="1" si="9"/>
        <v>-32071.362414307823</v>
      </c>
      <c r="U29" s="3">
        <f t="shared" ca="1" si="9"/>
        <v>-30735.055647044999</v>
      </c>
      <c r="V29" s="3">
        <f t="shared" ca="1" si="9"/>
        <v>-44037.761661751465</v>
      </c>
      <c r="W29" s="3">
        <f t="shared" ca="1" si="9"/>
        <v>-56786.188259178489</v>
      </c>
      <c r="X29" s="3">
        <f t="shared" ca="1" si="9"/>
        <v>-54420.097081712716</v>
      </c>
      <c r="Y29" s="3">
        <f t="shared" ca="1" si="9"/>
        <v>-66735.926369974695</v>
      </c>
      <c r="Z29" s="3">
        <f t="shared" ca="1" si="9"/>
        <v>-63955.262771225745</v>
      </c>
      <c r="AA29" s="3">
        <f t="shared" ca="1" si="9"/>
        <v>-61290.46015575801</v>
      </c>
      <c r="AB29" s="3">
        <f t="shared" ca="1" si="9"/>
        <v>-58736.690982601423</v>
      </c>
      <c r="AC29" s="3">
        <f t="shared" ca="1" si="9"/>
        <v>-56289.328858326364</v>
      </c>
      <c r="AD29" s="3">
        <f t="shared" ca="1" si="9"/>
        <v>-53943.940155896096</v>
      </c>
      <c r="AE29" s="3">
        <f t="shared" ca="1" si="9"/>
        <v>-51696.275982733758</v>
      </c>
      <c r="AF29" s="3">
        <f t="shared" ca="1" si="9"/>
        <v>-56833.931150119846</v>
      </c>
      <c r="AG29" s="3">
        <f t="shared" ca="1" si="9"/>
        <v>-61757.517352198192</v>
      </c>
      <c r="AH29" s="3">
        <f t="shared" ca="1" si="9"/>
        <v>-66475.954129189937</v>
      </c>
      <c r="AI29" s="3">
        <f t="shared" ca="1" si="9"/>
        <v>-63706.122707140348</v>
      </c>
      <c r="AJ29" s="3">
        <f t="shared" ca="1" si="9"/>
        <v>-61051.700927676167</v>
      </c>
      <c r="AK29" s="3">
        <f t="shared" ca="1" si="9"/>
        <v>-58507.88005568966</v>
      </c>
      <c r="AL29" s="3">
        <f t="shared" ca="1" si="9"/>
        <v>-56070.051720035925</v>
      </c>
      <c r="AM29" s="3">
        <f t="shared" ca="1" si="9"/>
        <v>-53733.799565034424</v>
      </c>
      <c r="AN29" s="3">
        <f t="shared" ca="1" si="9"/>
        <v>-51494.891249824657</v>
      </c>
      <c r="AO29" s="3">
        <f t="shared" ca="1" si="9"/>
        <v>-49349.270781081963</v>
      </c>
      <c r="AP29" s="3">
        <f t="shared" ca="1" si="9"/>
        <v>-47293.051165203557</v>
      </c>
      <c r="AQ29" s="3">
        <f t="shared" ca="1" si="9"/>
        <v>-45322.507366653408</v>
      </c>
      <c r="AR29" s="3">
        <f t="shared" ca="1" si="9"/>
        <v>-43434.069559709511</v>
      </c>
      <c r="AS29" s="3">
        <f t="shared" ca="1" si="9"/>
        <v>-41624.316661388286</v>
      </c>
      <c r="AT29" s="3">
        <f t="shared" ca="1" si="9"/>
        <v>-39889.970133830437</v>
      </c>
      <c r="AU29" s="3">
        <f t="shared" ca="1" si="9"/>
        <v>-38227.888044920837</v>
      </c>
      <c r="AV29" s="3">
        <f t="shared" ca="1" si="9"/>
        <v>-36635.059376382465</v>
      </c>
      <c r="AW29" s="3">
        <f t="shared" ca="1" si="9"/>
        <v>-35108.598569033195</v>
      </c>
      <c r="AX29" s="3">
        <f t="shared" ca="1" si="9"/>
        <v>-33645.740295323478</v>
      </c>
      <c r="AY29" s="3">
        <f t="shared" ca="1" si="9"/>
        <v>-32243.834449685004</v>
      </c>
      <c r="AZ29" s="3">
        <f t="shared" ca="1" si="9"/>
        <v>-30900.341347614798</v>
      </c>
      <c r="BA29" s="3">
        <f t="shared" ca="1" si="9"/>
        <v>-29612.827124797517</v>
      </c>
      <c r="BB29" s="3">
        <f t="shared" ca="1" si="9"/>
        <v>-28378.959327930952</v>
      </c>
      <c r="BC29" s="3">
        <f t="shared" ca="1" si="9"/>
        <v>-27196.502689267163</v>
      </c>
      <c r="BD29" s="3">
        <f t="shared" ca="1" si="9"/>
        <v>-26063.315077214367</v>
      </c>
      <c r="BE29" s="3">
        <f t="shared" ca="1" si="9"/>
        <v>-24977.343615663765</v>
      </c>
      <c r="BF29" s="3">
        <f t="shared" ca="1" si="9"/>
        <v>-23936.620965011109</v>
      </c>
      <c r="BG29" s="3">
        <f t="shared" ca="1" si="9"/>
        <v>-22939.261758135646</v>
      </c>
      <c r="BH29" s="3">
        <f t="shared" ca="1" si="9"/>
        <v>-21983.459184879994</v>
      </c>
      <c r="BI29" s="3">
        <f t="shared" ca="1" si="9"/>
        <v>-21067.481718843326</v>
      </c>
      <c r="BJ29" s="3">
        <f t="shared" ca="1" si="9"/>
        <v>-20189.669980558188</v>
      </c>
      <c r="BK29" s="3">
        <f t="shared" ca="1" si="9"/>
        <v>-19348.433731368263</v>
      </c>
      <c r="BL29" s="3">
        <f t="shared" ca="1" si="9"/>
        <v>-18542.24899256125</v>
      </c>
      <c r="BM29" s="3">
        <f t="shared" ca="1" si="9"/>
        <v>-17769.655284537865</v>
      </c>
      <c r="BN29" s="3">
        <f t="shared" ca="1" si="9"/>
        <v>-17029.252981015456</v>
      </c>
      <c r="BO29" s="3">
        <f t="shared" ca="1" si="9"/>
        <v>-16319.700773473143</v>
      </c>
      <c r="BP29" s="3">
        <f t="shared" ca="1" si="9"/>
        <v>-15639.713241245096</v>
      </c>
      <c r="BQ29" s="3">
        <f t="shared" ca="1" si="9"/>
        <v>-14988.058522859885</v>
      </c>
    </row>
    <row r="32" spans="1:69">
      <c r="B32" s="25" t="s">
        <v>324</v>
      </c>
    </row>
    <row r="33" spans="1:69" outlineLevel="1">
      <c r="E33" s="2" t="str">
        <f t="shared" ref="E33:BQ33" si="10" xml:space="preserve">  E$41</f>
        <v>Asset Finance interest POS</v>
      </c>
      <c r="F33" s="2">
        <f t="shared" si="10"/>
        <v>0</v>
      </c>
      <c r="G33" s="2" t="str">
        <f t="shared" si="10"/>
        <v>GBP</v>
      </c>
      <c r="H33" s="2">
        <f t="shared" ca="1" si="10"/>
        <v>336843.94463587576</v>
      </c>
      <c r="I33" s="2">
        <f t="shared" si="10"/>
        <v>0</v>
      </c>
      <c r="J33" s="2">
        <f t="shared" si="10"/>
        <v>0</v>
      </c>
      <c r="K33" s="2">
        <f t="shared" ca="1" si="10"/>
        <v>0</v>
      </c>
      <c r="L33" s="2">
        <f t="shared" ca="1" si="10"/>
        <v>1166.6666666666667</v>
      </c>
      <c r="M33" s="2">
        <f t="shared" ca="1" si="10"/>
        <v>1118.0555555555557</v>
      </c>
      <c r="N33" s="2">
        <f t="shared" ca="1" si="10"/>
        <v>1071.4699074074076</v>
      </c>
      <c r="O33" s="2">
        <f t="shared" ca="1" si="10"/>
        <v>1026.8253279320988</v>
      </c>
      <c r="P33" s="2">
        <f t="shared" ca="1" si="10"/>
        <v>3317.3742726015948</v>
      </c>
      <c r="Q33" s="2">
        <f t="shared" ca="1" si="10"/>
        <v>3179.1503445765284</v>
      </c>
      <c r="R33" s="2">
        <f t="shared" ca="1" si="10"/>
        <v>3046.6857468858398</v>
      </c>
      <c r="S33" s="2">
        <f t="shared" ca="1" si="10"/>
        <v>2919.7405074322633</v>
      </c>
      <c r="T33" s="2">
        <f t="shared" ca="1" si="10"/>
        <v>5131.4179862892524</v>
      </c>
      <c r="U33" s="2">
        <f t="shared" ca="1" si="10"/>
        <v>4917.6089035272007</v>
      </c>
      <c r="V33" s="2">
        <f t="shared" ca="1" si="10"/>
        <v>7046.0418658802355</v>
      </c>
      <c r="W33" s="2">
        <f t="shared" ca="1" si="10"/>
        <v>9085.7901214685589</v>
      </c>
      <c r="X33" s="2">
        <f t="shared" ca="1" si="10"/>
        <v>8707.2155330740352</v>
      </c>
      <c r="Y33" s="2">
        <f t="shared" ca="1" si="10"/>
        <v>10677.748219195952</v>
      </c>
      <c r="Z33" s="2">
        <f t="shared" ca="1" si="10"/>
        <v>10232.84204339612</v>
      </c>
      <c r="AA33" s="2">
        <f t="shared" ca="1" si="10"/>
        <v>9806.473624921282</v>
      </c>
      <c r="AB33" s="2">
        <f t="shared" ca="1" si="10"/>
        <v>9397.8705572162271</v>
      </c>
      <c r="AC33" s="2">
        <f t="shared" ca="1" si="10"/>
        <v>9006.2926173322194</v>
      </c>
      <c r="AD33" s="2">
        <f t="shared" ca="1" si="10"/>
        <v>8631.0304249433757</v>
      </c>
      <c r="AE33" s="2">
        <f t="shared" ca="1" si="10"/>
        <v>8271.4041572374026</v>
      </c>
      <c r="AF33" s="2">
        <f t="shared" ca="1" si="10"/>
        <v>9093.4289840191759</v>
      </c>
      <c r="AG33" s="2">
        <f t="shared" ca="1" si="10"/>
        <v>9881.2027763517108</v>
      </c>
      <c r="AH33" s="2">
        <f t="shared" ca="1" si="10"/>
        <v>10636.15266067039</v>
      </c>
      <c r="AI33" s="2">
        <f t="shared" ca="1" si="10"/>
        <v>10192.979633142457</v>
      </c>
      <c r="AJ33" s="2">
        <f t="shared" ca="1" si="10"/>
        <v>9768.2721484281883</v>
      </c>
      <c r="AK33" s="2">
        <f t="shared" ca="1" si="10"/>
        <v>9361.2608089103469</v>
      </c>
      <c r="AL33" s="2">
        <f t="shared" ca="1" si="10"/>
        <v>8971.2082752057486</v>
      </c>
      <c r="AM33" s="2">
        <f t="shared" ca="1" si="10"/>
        <v>8597.4079304055085</v>
      </c>
      <c r="AN33" s="2">
        <f t="shared" ca="1" si="10"/>
        <v>8239.1825999719458</v>
      </c>
      <c r="AO33" s="2">
        <f t="shared" ca="1" si="10"/>
        <v>7895.8833249731151</v>
      </c>
      <c r="AP33" s="2">
        <f t="shared" ca="1" si="10"/>
        <v>7566.8881864325695</v>
      </c>
      <c r="AQ33" s="2">
        <f t="shared" ca="1" si="10"/>
        <v>7251.6011786645449</v>
      </c>
      <c r="AR33" s="2">
        <f t="shared" ca="1" si="10"/>
        <v>6949.4511295535222</v>
      </c>
      <c r="AS33" s="2">
        <f t="shared" ca="1" si="10"/>
        <v>6659.8906658221258</v>
      </c>
      <c r="AT33" s="2">
        <f t="shared" ca="1" si="10"/>
        <v>6382.3952214128703</v>
      </c>
      <c r="AU33" s="2">
        <f t="shared" ca="1" si="10"/>
        <v>6116.462087187334</v>
      </c>
      <c r="AV33" s="2">
        <f t="shared" ca="1" si="10"/>
        <v>5861.609500221195</v>
      </c>
      <c r="AW33" s="2">
        <f t="shared" ca="1" si="10"/>
        <v>5617.3757710453119</v>
      </c>
      <c r="AX33" s="2">
        <f t="shared" ca="1" si="10"/>
        <v>5383.3184472517569</v>
      </c>
      <c r="AY33" s="2">
        <f t="shared" ca="1" si="10"/>
        <v>5159.0135119496008</v>
      </c>
      <c r="AZ33" s="2">
        <f t="shared" ca="1" si="10"/>
        <v>4944.0546156183682</v>
      </c>
      <c r="BA33" s="2">
        <f t="shared" ca="1" si="10"/>
        <v>4738.0523399676031</v>
      </c>
      <c r="BB33" s="2">
        <f t="shared" ca="1" si="10"/>
        <v>4540.6334924689527</v>
      </c>
      <c r="BC33" s="2">
        <f t="shared" ca="1" si="10"/>
        <v>4351.440430282747</v>
      </c>
      <c r="BD33" s="2">
        <f t="shared" ca="1" si="10"/>
        <v>4170.1304123542986</v>
      </c>
      <c r="BE33" s="2">
        <f t="shared" ca="1" si="10"/>
        <v>3996.3749785062028</v>
      </c>
      <c r="BF33" s="2">
        <f t="shared" ca="1" si="10"/>
        <v>3829.8593544017776</v>
      </c>
      <c r="BG33" s="2">
        <f t="shared" ca="1" si="10"/>
        <v>3670.2818813017038</v>
      </c>
      <c r="BH33" s="2">
        <f t="shared" ca="1" si="10"/>
        <v>3517.3534695807994</v>
      </c>
      <c r="BI33" s="2">
        <f t="shared" ca="1" si="10"/>
        <v>3370.7970750149325</v>
      </c>
      <c r="BJ33" s="2">
        <f t="shared" ca="1" si="10"/>
        <v>3230.3471968893105</v>
      </c>
      <c r="BK33" s="2">
        <f t="shared" ca="1" si="10"/>
        <v>3095.7493970189221</v>
      </c>
      <c r="BL33" s="2">
        <f t="shared" ca="1" si="10"/>
        <v>2966.7598388098004</v>
      </c>
      <c r="BM33" s="2">
        <f t="shared" ca="1" si="10"/>
        <v>2843.1448455260588</v>
      </c>
      <c r="BN33" s="2">
        <f t="shared" ca="1" si="10"/>
        <v>2724.6804769624728</v>
      </c>
      <c r="BO33" s="2">
        <f t="shared" ca="1" si="10"/>
        <v>2611.1521237557031</v>
      </c>
      <c r="BP33" s="2">
        <f t="shared" ca="1" si="10"/>
        <v>2502.3541185992153</v>
      </c>
      <c r="BQ33" s="2">
        <f t="shared" ca="1" si="10"/>
        <v>2398.0893636575815</v>
      </c>
    </row>
    <row r="34" spans="1:69" outlineLevel="1">
      <c r="E34" s="2" t="str">
        <f t="shared" ref="E34:BQ34" si="11" xml:space="preserve">  E$47</f>
        <v>Asset Finance interest paid POS</v>
      </c>
      <c r="F34" s="2">
        <f t="shared" si="11"/>
        <v>0</v>
      </c>
      <c r="G34" s="2" t="str">
        <f t="shared" si="11"/>
        <v>GBP</v>
      </c>
      <c r="H34" s="2">
        <f t="shared" ca="1" si="11"/>
        <v>336843.94463587576</v>
      </c>
      <c r="I34" s="2">
        <f t="shared" si="11"/>
        <v>0</v>
      </c>
      <c r="J34" s="2">
        <f t="shared" si="11"/>
        <v>0</v>
      </c>
      <c r="K34" s="2">
        <f t="shared" ca="1" si="11"/>
        <v>0</v>
      </c>
      <c r="L34" s="2">
        <f t="shared" ca="1" si="11"/>
        <v>1166.6666666666667</v>
      </c>
      <c r="M34" s="2">
        <f t="shared" ca="1" si="11"/>
        <v>1118.0555555555557</v>
      </c>
      <c r="N34" s="2">
        <f t="shared" ca="1" si="11"/>
        <v>1071.4699074074076</v>
      </c>
      <c r="O34" s="2">
        <f t="shared" ca="1" si="11"/>
        <v>1026.8253279320988</v>
      </c>
      <c r="P34" s="2">
        <f t="shared" ca="1" si="11"/>
        <v>3317.3742726015948</v>
      </c>
      <c r="Q34" s="2">
        <f t="shared" ca="1" si="11"/>
        <v>3179.1503445765284</v>
      </c>
      <c r="R34" s="2">
        <f t="shared" ca="1" si="11"/>
        <v>3046.6857468858398</v>
      </c>
      <c r="S34" s="2">
        <f t="shared" ca="1" si="11"/>
        <v>2919.7405074322633</v>
      </c>
      <c r="T34" s="2">
        <f t="shared" ca="1" si="11"/>
        <v>5131.4179862892524</v>
      </c>
      <c r="U34" s="2">
        <f t="shared" ca="1" si="11"/>
        <v>4917.6089035272007</v>
      </c>
      <c r="V34" s="2">
        <f t="shared" ca="1" si="11"/>
        <v>7046.0418658802355</v>
      </c>
      <c r="W34" s="2">
        <f t="shared" ca="1" si="11"/>
        <v>9085.7901214685589</v>
      </c>
      <c r="X34" s="2">
        <f t="shared" ca="1" si="11"/>
        <v>8707.2155330740352</v>
      </c>
      <c r="Y34" s="2">
        <f t="shared" ca="1" si="11"/>
        <v>10677.748219195952</v>
      </c>
      <c r="Z34" s="2">
        <f t="shared" ca="1" si="11"/>
        <v>10232.84204339612</v>
      </c>
      <c r="AA34" s="2">
        <f t="shared" ca="1" si="11"/>
        <v>9806.473624921282</v>
      </c>
      <c r="AB34" s="2">
        <f t="shared" ca="1" si="11"/>
        <v>9397.8705572162271</v>
      </c>
      <c r="AC34" s="2">
        <f t="shared" ca="1" si="11"/>
        <v>9006.2926173322194</v>
      </c>
      <c r="AD34" s="2">
        <f t="shared" ca="1" si="11"/>
        <v>8631.0304249433757</v>
      </c>
      <c r="AE34" s="2">
        <f t="shared" ca="1" si="11"/>
        <v>8271.4041572374026</v>
      </c>
      <c r="AF34" s="2">
        <f t="shared" ca="1" si="11"/>
        <v>9093.4289840191759</v>
      </c>
      <c r="AG34" s="2">
        <f t="shared" ca="1" si="11"/>
        <v>9881.2027763517108</v>
      </c>
      <c r="AH34" s="2">
        <f t="shared" ca="1" si="11"/>
        <v>10636.15266067039</v>
      </c>
      <c r="AI34" s="2">
        <f t="shared" ca="1" si="11"/>
        <v>10192.979633142457</v>
      </c>
      <c r="AJ34" s="2">
        <f t="shared" ca="1" si="11"/>
        <v>9768.2721484281883</v>
      </c>
      <c r="AK34" s="2">
        <f t="shared" ca="1" si="11"/>
        <v>9361.2608089103469</v>
      </c>
      <c r="AL34" s="2">
        <f t="shared" ca="1" si="11"/>
        <v>8971.2082752057486</v>
      </c>
      <c r="AM34" s="2">
        <f t="shared" ca="1" si="11"/>
        <v>8597.4079304055085</v>
      </c>
      <c r="AN34" s="2">
        <f t="shared" ca="1" si="11"/>
        <v>8239.1825999719458</v>
      </c>
      <c r="AO34" s="2">
        <f t="shared" ca="1" si="11"/>
        <v>7895.8833249731151</v>
      </c>
      <c r="AP34" s="2">
        <f t="shared" ca="1" si="11"/>
        <v>7566.8881864325695</v>
      </c>
      <c r="AQ34" s="2">
        <f t="shared" ca="1" si="11"/>
        <v>7251.6011786645449</v>
      </c>
      <c r="AR34" s="2">
        <f t="shared" ca="1" si="11"/>
        <v>6949.4511295535222</v>
      </c>
      <c r="AS34" s="2">
        <f t="shared" ca="1" si="11"/>
        <v>6659.8906658221258</v>
      </c>
      <c r="AT34" s="2">
        <f t="shared" ca="1" si="11"/>
        <v>6382.3952214128703</v>
      </c>
      <c r="AU34" s="2">
        <f t="shared" ca="1" si="11"/>
        <v>6116.462087187334</v>
      </c>
      <c r="AV34" s="2">
        <f t="shared" ca="1" si="11"/>
        <v>5861.609500221195</v>
      </c>
      <c r="AW34" s="2">
        <f t="shared" ca="1" si="11"/>
        <v>5617.3757710453119</v>
      </c>
      <c r="AX34" s="2">
        <f t="shared" ca="1" si="11"/>
        <v>5383.3184472517569</v>
      </c>
      <c r="AY34" s="2">
        <f t="shared" ca="1" si="11"/>
        <v>5159.0135119496008</v>
      </c>
      <c r="AZ34" s="2">
        <f t="shared" ca="1" si="11"/>
        <v>4944.0546156183682</v>
      </c>
      <c r="BA34" s="2">
        <f t="shared" ca="1" si="11"/>
        <v>4738.0523399676031</v>
      </c>
      <c r="BB34" s="2">
        <f t="shared" ca="1" si="11"/>
        <v>4540.6334924689527</v>
      </c>
      <c r="BC34" s="2">
        <f t="shared" ca="1" si="11"/>
        <v>4351.440430282747</v>
      </c>
      <c r="BD34" s="2">
        <f t="shared" ca="1" si="11"/>
        <v>4170.1304123542986</v>
      </c>
      <c r="BE34" s="2">
        <f t="shared" ca="1" si="11"/>
        <v>3996.3749785062028</v>
      </c>
      <c r="BF34" s="2">
        <f t="shared" ca="1" si="11"/>
        <v>3829.8593544017776</v>
      </c>
      <c r="BG34" s="2">
        <f t="shared" ca="1" si="11"/>
        <v>3670.2818813017038</v>
      </c>
      <c r="BH34" s="2">
        <f t="shared" ca="1" si="11"/>
        <v>3517.3534695807994</v>
      </c>
      <c r="BI34" s="2">
        <f t="shared" ca="1" si="11"/>
        <v>3370.7970750149325</v>
      </c>
      <c r="BJ34" s="2">
        <f t="shared" ca="1" si="11"/>
        <v>3230.3471968893105</v>
      </c>
      <c r="BK34" s="2">
        <f t="shared" ca="1" si="11"/>
        <v>3095.7493970189221</v>
      </c>
      <c r="BL34" s="2">
        <f t="shared" ca="1" si="11"/>
        <v>2966.7598388098004</v>
      </c>
      <c r="BM34" s="2">
        <f t="shared" ca="1" si="11"/>
        <v>2843.1448455260588</v>
      </c>
      <c r="BN34" s="2">
        <f t="shared" ca="1" si="11"/>
        <v>2724.6804769624728</v>
      </c>
      <c r="BO34" s="2">
        <f t="shared" ca="1" si="11"/>
        <v>2611.1521237557031</v>
      </c>
      <c r="BP34" s="2">
        <f t="shared" ca="1" si="11"/>
        <v>2502.3541185992153</v>
      </c>
      <c r="BQ34" s="2">
        <f t="shared" ca="1" si="11"/>
        <v>2398.0893636575815</v>
      </c>
    </row>
    <row r="35" spans="1:69" outlineLevel="1">
      <c r="E35" s="47" t="s">
        <v>324</v>
      </c>
      <c r="G35" s="47" t="s">
        <v>258</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5" t="s">
        <v>136</v>
      </c>
    </row>
    <row r="39" spans="1:69" outlineLevel="1">
      <c r="E39" s="57" t="str">
        <f t="shared" ref="E39:G39" si="13" xml:space="preserve">  E$55</f>
        <v>Asset Finance period interest rate</v>
      </c>
      <c r="F39" s="57">
        <f t="shared" si="13"/>
        <v>6.6666666666666671E-3</v>
      </c>
      <c r="G39" s="57" t="str">
        <f t="shared" si="13"/>
        <v>%</v>
      </c>
      <c r="M39" s="57"/>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0</v>
      </c>
      <c r="L40" s="2">
        <f t="shared" ca="1" si="14"/>
        <v>175000</v>
      </c>
      <c r="M40" s="2">
        <f t="shared" ca="1" si="14"/>
        <v>167708.33333333334</v>
      </c>
      <c r="N40" s="2">
        <f t="shared" ca="1" si="14"/>
        <v>160720.48611111112</v>
      </c>
      <c r="O40" s="2">
        <f t="shared" ca="1" si="14"/>
        <v>154023.79918981483</v>
      </c>
      <c r="P40" s="2">
        <f t="shared" ca="1" si="14"/>
        <v>497606.14089023921</v>
      </c>
      <c r="Q40" s="2">
        <f t="shared" ca="1" si="14"/>
        <v>476872.55168647924</v>
      </c>
      <c r="R40" s="2">
        <f t="shared" ca="1" si="14"/>
        <v>457002.86203287594</v>
      </c>
      <c r="S40" s="2">
        <f t="shared" ca="1" si="14"/>
        <v>437961.07611483947</v>
      </c>
      <c r="T40" s="2">
        <f t="shared" ca="1" si="14"/>
        <v>769712.69794338779</v>
      </c>
      <c r="U40" s="2">
        <f t="shared" ca="1" si="14"/>
        <v>737641.33552908001</v>
      </c>
      <c r="V40" s="2">
        <f t="shared" ca="1" si="14"/>
        <v>1056906.2798820352</v>
      </c>
      <c r="W40" s="2">
        <f t="shared" ca="1" si="14"/>
        <v>1362868.5182202838</v>
      </c>
      <c r="X40" s="2">
        <f t="shared" ca="1" si="14"/>
        <v>1306082.3299611052</v>
      </c>
      <c r="Y40" s="2">
        <f t="shared" ca="1" si="14"/>
        <v>1601662.2328793926</v>
      </c>
      <c r="Z40" s="2">
        <f t="shared" ca="1" si="14"/>
        <v>1534926.3065094179</v>
      </c>
      <c r="AA40" s="2">
        <f t="shared" ca="1" si="14"/>
        <v>1470971.0437381922</v>
      </c>
      <c r="AB40" s="2">
        <f t="shared" ca="1" si="14"/>
        <v>1409680.5835824341</v>
      </c>
      <c r="AC40" s="2">
        <f t="shared" ca="1" si="14"/>
        <v>1350943.8925998327</v>
      </c>
      <c r="AD40" s="2">
        <f t="shared" ca="1" si="14"/>
        <v>1294654.5637415063</v>
      </c>
      <c r="AE40" s="2">
        <f t="shared" ca="1" si="14"/>
        <v>1240710.6235856102</v>
      </c>
      <c r="AF40" s="2">
        <f t="shared" ca="1" si="14"/>
        <v>1364014.3476028764</v>
      </c>
      <c r="AG40" s="2">
        <f t="shared" ca="1" si="14"/>
        <v>1482180.4164527566</v>
      </c>
      <c r="AH40" s="2">
        <f t="shared" ca="1" si="14"/>
        <v>1595422.8991005584</v>
      </c>
      <c r="AI40" s="2">
        <f t="shared" ca="1" si="14"/>
        <v>1528946.9449713684</v>
      </c>
      <c r="AJ40" s="2">
        <f t="shared" ca="1" si="14"/>
        <v>1465240.822264228</v>
      </c>
      <c r="AK40" s="2">
        <f t="shared" ca="1" si="14"/>
        <v>1404189.1213365518</v>
      </c>
      <c r="AL40" s="2">
        <f t="shared" ca="1" si="14"/>
        <v>1345681.2412808621</v>
      </c>
      <c r="AM40" s="2">
        <f t="shared" ca="1" si="14"/>
        <v>1289611.1895608262</v>
      </c>
      <c r="AN40" s="2">
        <f t="shared" ca="1" si="14"/>
        <v>1235877.3899957917</v>
      </c>
      <c r="AO40" s="2">
        <f t="shared" ca="1" si="14"/>
        <v>1184382.4987459672</v>
      </c>
      <c r="AP40" s="2">
        <f t="shared" ca="1" si="14"/>
        <v>1135033.2279648853</v>
      </c>
      <c r="AQ40" s="2">
        <f t="shared" ca="1" si="14"/>
        <v>1087740.1767996817</v>
      </c>
      <c r="AR40" s="2">
        <f t="shared" ca="1" si="14"/>
        <v>1042417.6694330283</v>
      </c>
      <c r="AS40" s="2">
        <f t="shared" ca="1" si="14"/>
        <v>998983.5998733188</v>
      </c>
      <c r="AT40" s="2">
        <f t="shared" ca="1" si="14"/>
        <v>957359.28321193054</v>
      </c>
      <c r="AU40" s="2">
        <f t="shared" ca="1" si="14"/>
        <v>917469.31307810009</v>
      </c>
      <c r="AV40" s="2">
        <f t="shared" ca="1" si="14"/>
        <v>879241.42503317923</v>
      </c>
      <c r="AW40" s="2">
        <f t="shared" ca="1" si="14"/>
        <v>842606.36565679673</v>
      </c>
      <c r="AX40" s="2">
        <f t="shared" ca="1" si="14"/>
        <v>807497.76708776352</v>
      </c>
      <c r="AY40" s="2">
        <f t="shared" ca="1" si="14"/>
        <v>773852.0267924401</v>
      </c>
      <c r="AZ40" s="2">
        <f t="shared" ca="1" si="14"/>
        <v>741608.19234275515</v>
      </c>
      <c r="BA40" s="2">
        <f t="shared" ca="1" si="14"/>
        <v>710707.85099514038</v>
      </c>
      <c r="BB40" s="2">
        <f t="shared" ca="1" si="14"/>
        <v>681095.02387034288</v>
      </c>
      <c r="BC40" s="2">
        <f t="shared" ca="1" si="14"/>
        <v>652716.06454241194</v>
      </c>
      <c r="BD40" s="2">
        <f t="shared" ca="1" si="14"/>
        <v>625519.56185314478</v>
      </c>
      <c r="BE40" s="2">
        <f t="shared" ca="1" si="14"/>
        <v>599456.2467759304</v>
      </c>
      <c r="BF40" s="2">
        <f t="shared" ca="1" si="14"/>
        <v>574478.90316026658</v>
      </c>
      <c r="BG40" s="2">
        <f t="shared" ca="1" si="14"/>
        <v>550542.28219525551</v>
      </c>
      <c r="BH40" s="2">
        <f t="shared" ca="1" si="14"/>
        <v>527603.02043711988</v>
      </c>
      <c r="BI40" s="2">
        <f t="shared" ca="1" si="14"/>
        <v>505619.56125223986</v>
      </c>
      <c r="BJ40" s="2">
        <f t="shared" ca="1" si="14"/>
        <v>484552.07953339652</v>
      </c>
      <c r="BK40" s="2">
        <f t="shared" ca="1" si="14"/>
        <v>464362.4095528383</v>
      </c>
      <c r="BL40" s="2">
        <f t="shared" ca="1" si="14"/>
        <v>445013.97582147003</v>
      </c>
      <c r="BM40" s="2">
        <f t="shared" ca="1" si="14"/>
        <v>426471.72682890878</v>
      </c>
      <c r="BN40" s="2">
        <f t="shared" ca="1" si="14"/>
        <v>408702.07154437091</v>
      </c>
      <c r="BO40" s="2">
        <f t="shared" ca="1" si="14"/>
        <v>391672.81856335542</v>
      </c>
      <c r="BP40" s="2">
        <f t="shared" ca="1" si="14"/>
        <v>375353.11778988229</v>
      </c>
      <c r="BQ40" s="2">
        <f t="shared" ca="1" si="14"/>
        <v>359713.40454863722</v>
      </c>
    </row>
    <row r="41" spans="1:69" outlineLevel="1">
      <c r="E41" s="47" t="s">
        <v>22</v>
      </c>
      <c r="G41" s="47" t="s">
        <v>258</v>
      </c>
      <c r="H41" s="2">
        <f t="shared" ref="H41:H42" ca="1" si="15" xml:space="preserve"> SUM( J41:BQ41 )</f>
        <v>336843.94463587576</v>
      </c>
      <c r="J41" s="2">
        <f t="shared" ref="J41:BQ41" si="16" xml:space="preserve">  $F39 * J40</f>
        <v>0</v>
      </c>
      <c r="K41" s="2">
        <f t="shared" ca="1" si="16"/>
        <v>0</v>
      </c>
      <c r="L41" s="2">
        <f t="shared" ca="1" si="16"/>
        <v>1166.6666666666667</v>
      </c>
      <c r="M41" s="2">
        <f t="shared" ca="1" si="16"/>
        <v>1118.0555555555557</v>
      </c>
      <c r="N41" s="2">
        <f t="shared" ca="1" si="16"/>
        <v>1071.4699074074076</v>
      </c>
      <c r="O41" s="2">
        <f t="shared" ca="1" si="16"/>
        <v>1026.8253279320988</v>
      </c>
      <c r="P41" s="2">
        <f t="shared" ca="1" si="16"/>
        <v>3317.3742726015948</v>
      </c>
      <c r="Q41" s="2">
        <f t="shared" ca="1" si="16"/>
        <v>3179.1503445765284</v>
      </c>
      <c r="R41" s="2">
        <f t="shared" ca="1" si="16"/>
        <v>3046.6857468858398</v>
      </c>
      <c r="S41" s="2">
        <f t="shared" ca="1" si="16"/>
        <v>2919.7405074322633</v>
      </c>
      <c r="T41" s="2">
        <f t="shared" ca="1" si="16"/>
        <v>5131.4179862892524</v>
      </c>
      <c r="U41" s="2">
        <f t="shared" ca="1" si="16"/>
        <v>4917.6089035272007</v>
      </c>
      <c r="V41" s="2">
        <f t="shared" ca="1" si="16"/>
        <v>7046.0418658802355</v>
      </c>
      <c r="W41" s="2">
        <f t="shared" ca="1" si="16"/>
        <v>9085.7901214685589</v>
      </c>
      <c r="X41" s="2">
        <f t="shared" ca="1" si="16"/>
        <v>8707.2155330740352</v>
      </c>
      <c r="Y41" s="2">
        <f t="shared" ca="1" si="16"/>
        <v>10677.748219195952</v>
      </c>
      <c r="Z41" s="2">
        <f t="shared" ca="1" si="16"/>
        <v>10232.84204339612</v>
      </c>
      <c r="AA41" s="2">
        <f t="shared" ca="1" si="16"/>
        <v>9806.473624921282</v>
      </c>
      <c r="AB41" s="2">
        <f t="shared" ca="1" si="16"/>
        <v>9397.8705572162271</v>
      </c>
      <c r="AC41" s="2">
        <f t="shared" ca="1" si="16"/>
        <v>9006.2926173322194</v>
      </c>
      <c r="AD41" s="2">
        <f t="shared" ca="1" si="16"/>
        <v>8631.0304249433757</v>
      </c>
      <c r="AE41" s="2">
        <f t="shared" ca="1" si="16"/>
        <v>8271.4041572374026</v>
      </c>
      <c r="AF41" s="2">
        <f t="shared" ca="1" si="16"/>
        <v>9093.4289840191759</v>
      </c>
      <c r="AG41" s="2">
        <f t="shared" ca="1" si="16"/>
        <v>9881.2027763517108</v>
      </c>
      <c r="AH41" s="2">
        <f t="shared" ca="1" si="16"/>
        <v>10636.15266067039</v>
      </c>
      <c r="AI41" s="2">
        <f t="shared" ca="1" si="16"/>
        <v>10192.979633142457</v>
      </c>
      <c r="AJ41" s="2">
        <f t="shared" ca="1" si="16"/>
        <v>9768.2721484281883</v>
      </c>
      <c r="AK41" s="2">
        <f t="shared" ca="1" si="16"/>
        <v>9361.2608089103469</v>
      </c>
      <c r="AL41" s="2">
        <f t="shared" ca="1" si="16"/>
        <v>8971.2082752057486</v>
      </c>
      <c r="AM41" s="2">
        <f t="shared" ca="1" si="16"/>
        <v>8597.4079304055085</v>
      </c>
      <c r="AN41" s="2">
        <f t="shared" ca="1" si="16"/>
        <v>8239.1825999719458</v>
      </c>
      <c r="AO41" s="2">
        <f t="shared" ca="1" si="16"/>
        <v>7895.8833249731151</v>
      </c>
      <c r="AP41" s="2">
        <f t="shared" ca="1" si="16"/>
        <v>7566.8881864325695</v>
      </c>
      <c r="AQ41" s="2">
        <f t="shared" ca="1" si="16"/>
        <v>7251.6011786645449</v>
      </c>
      <c r="AR41" s="2">
        <f t="shared" ca="1" si="16"/>
        <v>6949.4511295535222</v>
      </c>
      <c r="AS41" s="2">
        <f t="shared" ca="1" si="16"/>
        <v>6659.8906658221258</v>
      </c>
      <c r="AT41" s="2">
        <f t="shared" ca="1" si="16"/>
        <v>6382.3952214128703</v>
      </c>
      <c r="AU41" s="2">
        <f t="shared" ca="1" si="16"/>
        <v>6116.462087187334</v>
      </c>
      <c r="AV41" s="2">
        <f t="shared" ca="1" si="16"/>
        <v>5861.609500221195</v>
      </c>
      <c r="AW41" s="2">
        <f t="shared" ca="1" si="16"/>
        <v>5617.3757710453119</v>
      </c>
      <c r="AX41" s="2">
        <f t="shared" ca="1" si="16"/>
        <v>5383.3184472517569</v>
      </c>
      <c r="AY41" s="2">
        <f t="shared" ca="1" si="16"/>
        <v>5159.0135119496008</v>
      </c>
      <c r="AZ41" s="2">
        <f t="shared" ca="1" si="16"/>
        <v>4944.0546156183682</v>
      </c>
      <c r="BA41" s="2">
        <f t="shared" ca="1" si="16"/>
        <v>4738.0523399676031</v>
      </c>
      <c r="BB41" s="2">
        <f t="shared" ca="1" si="16"/>
        <v>4540.6334924689527</v>
      </c>
      <c r="BC41" s="2">
        <f t="shared" ca="1" si="16"/>
        <v>4351.440430282747</v>
      </c>
      <c r="BD41" s="2">
        <f t="shared" ca="1" si="16"/>
        <v>4170.1304123542986</v>
      </c>
      <c r="BE41" s="2">
        <f t="shared" ca="1" si="16"/>
        <v>3996.3749785062028</v>
      </c>
      <c r="BF41" s="2">
        <f t="shared" ca="1" si="16"/>
        <v>3829.8593544017776</v>
      </c>
      <c r="BG41" s="2">
        <f t="shared" ca="1" si="16"/>
        <v>3670.2818813017038</v>
      </c>
      <c r="BH41" s="2">
        <f t="shared" ca="1" si="16"/>
        <v>3517.3534695807994</v>
      </c>
      <c r="BI41" s="2">
        <f t="shared" ca="1" si="16"/>
        <v>3370.7970750149325</v>
      </c>
      <c r="BJ41" s="2">
        <f t="shared" ca="1" si="16"/>
        <v>3230.3471968893105</v>
      </c>
      <c r="BK41" s="2">
        <f t="shared" ca="1" si="16"/>
        <v>3095.7493970189221</v>
      </c>
      <c r="BL41" s="2">
        <f t="shared" ca="1" si="16"/>
        <v>2966.7598388098004</v>
      </c>
      <c r="BM41" s="2">
        <f t="shared" ca="1" si="16"/>
        <v>2843.1448455260588</v>
      </c>
      <c r="BN41" s="2">
        <f t="shared" ca="1" si="16"/>
        <v>2724.6804769624728</v>
      </c>
      <c r="BO41" s="2">
        <f t="shared" ca="1" si="16"/>
        <v>2611.1521237557031</v>
      </c>
      <c r="BP41" s="2">
        <f t="shared" ca="1" si="16"/>
        <v>2502.3541185992153</v>
      </c>
      <c r="BQ41" s="2">
        <f t="shared" ca="1" si="16"/>
        <v>2398.0893636575815</v>
      </c>
    </row>
    <row r="42" spans="1:69" outlineLevel="1">
      <c r="A42" s="34"/>
      <c r="B42" s="34"/>
      <c r="C42" s="64"/>
      <c r="D42" s="65"/>
      <c r="E42" s="21" t="str">
        <f xml:space="preserve"> LEFT($E$41, LEN($E$41) - 3 )</f>
        <v xml:space="preserve">Asset Finance interest </v>
      </c>
      <c r="F42" s="21"/>
      <c r="G42" s="21" t="str">
        <f xml:space="preserve"> G$41</f>
        <v>GBP</v>
      </c>
      <c r="H42" s="3">
        <f t="shared" ca="1" si="15"/>
        <v>-336843.94463587576</v>
      </c>
      <c r="I42" s="21"/>
      <c r="J42" s="3">
        <f t="shared" ref="J42:BQ42" si="17" xml:space="preserve"> -1 * J41</f>
        <v>0</v>
      </c>
      <c r="K42" s="3">
        <f t="shared" ca="1" si="17"/>
        <v>0</v>
      </c>
      <c r="L42" s="3">
        <f t="shared" ca="1" si="17"/>
        <v>-1166.6666666666667</v>
      </c>
      <c r="M42" s="3">
        <f t="shared" ca="1" si="17"/>
        <v>-1118.0555555555557</v>
      </c>
      <c r="N42" s="3">
        <f t="shared" ca="1" si="17"/>
        <v>-1071.4699074074076</v>
      </c>
      <c r="O42" s="3">
        <f t="shared" ca="1" si="17"/>
        <v>-1026.8253279320988</v>
      </c>
      <c r="P42" s="3">
        <f t="shared" ca="1" si="17"/>
        <v>-3317.3742726015948</v>
      </c>
      <c r="Q42" s="3">
        <f t="shared" ca="1" si="17"/>
        <v>-3179.1503445765284</v>
      </c>
      <c r="R42" s="3">
        <f t="shared" ca="1" si="17"/>
        <v>-3046.6857468858398</v>
      </c>
      <c r="S42" s="3">
        <f t="shared" ca="1" si="17"/>
        <v>-2919.7405074322633</v>
      </c>
      <c r="T42" s="3">
        <f t="shared" ca="1" si="17"/>
        <v>-5131.4179862892524</v>
      </c>
      <c r="U42" s="3">
        <f t="shared" ca="1" si="17"/>
        <v>-4917.6089035272007</v>
      </c>
      <c r="V42" s="3">
        <f t="shared" ca="1" si="17"/>
        <v>-7046.0418658802355</v>
      </c>
      <c r="W42" s="3">
        <f t="shared" ca="1" si="17"/>
        <v>-9085.7901214685589</v>
      </c>
      <c r="X42" s="3">
        <f t="shared" ca="1" si="17"/>
        <v>-8707.2155330740352</v>
      </c>
      <c r="Y42" s="3">
        <f t="shared" ca="1" si="17"/>
        <v>-10677.748219195952</v>
      </c>
      <c r="Z42" s="3">
        <f t="shared" ca="1" si="17"/>
        <v>-10232.84204339612</v>
      </c>
      <c r="AA42" s="3">
        <f t="shared" ca="1" si="17"/>
        <v>-9806.473624921282</v>
      </c>
      <c r="AB42" s="3">
        <f t="shared" ca="1" si="17"/>
        <v>-9397.8705572162271</v>
      </c>
      <c r="AC42" s="3">
        <f t="shared" ca="1" si="17"/>
        <v>-9006.2926173322194</v>
      </c>
      <c r="AD42" s="3">
        <f t="shared" ca="1" si="17"/>
        <v>-8631.0304249433757</v>
      </c>
      <c r="AE42" s="3">
        <f t="shared" ca="1" si="17"/>
        <v>-8271.4041572374026</v>
      </c>
      <c r="AF42" s="3">
        <f t="shared" ca="1" si="17"/>
        <v>-9093.4289840191759</v>
      </c>
      <c r="AG42" s="3">
        <f t="shared" ca="1" si="17"/>
        <v>-9881.2027763517108</v>
      </c>
      <c r="AH42" s="3">
        <f t="shared" ca="1" si="17"/>
        <v>-10636.15266067039</v>
      </c>
      <c r="AI42" s="3">
        <f t="shared" ca="1" si="17"/>
        <v>-10192.979633142457</v>
      </c>
      <c r="AJ42" s="3">
        <f t="shared" ca="1" si="17"/>
        <v>-9768.2721484281883</v>
      </c>
      <c r="AK42" s="3">
        <f t="shared" ca="1" si="17"/>
        <v>-9361.2608089103469</v>
      </c>
      <c r="AL42" s="3">
        <f t="shared" ca="1" si="17"/>
        <v>-8971.2082752057486</v>
      </c>
      <c r="AM42" s="3">
        <f t="shared" ca="1" si="17"/>
        <v>-8597.4079304055085</v>
      </c>
      <c r="AN42" s="3">
        <f t="shared" ca="1" si="17"/>
        <v>-8239.1825999719458</v>
      </c>
      <c r="AO42" s="3">
        <f t="shared" ca="1" si="17"/>
        <v>-7895.8833249731151</v>
      </c>
      <c r="AP42" s="3">
        <f t="shared" ca="1" si="17"/>
        <v>-7566.8881864325695</v>
      </c>
      <c r="AQ42" s="3">
        <f t="shared" ca="1" si="17"/>
        <v>-7251.6011786645449</v>
      </c>
      <c r="AR42" s="3">
        <f t="shared" ca="1" si="17"/>
        <v>-6949.4511295535222</v>
      </c>
      <c r="AS42" s="3">
        <f t="shared" ca="1" si="17"/>
        <v>-6659.8906658221258</v>
      </c>
      <c r="AT42" s="3">
        <f t="shared" ca="1" si="17"/>
        <v>-6382.3952214128703</v>
      </c>
      <c r="AU42" s="3">
        <f t="shared" ca="1" si="17"/>
        <v>-6116.462087187334</v>
      </c>
      <c r="AV42" s="3">
        <f t="shared" ca="1" si="17"/>
        <v>-5861.609500221195</v>
      </c>
      <c r="AW42" s="3">
        <f t="shared" ca="1" si="17"/>
        <v>-5617.3757710453119</v>
      </c>
      <c r="AX42" s="3">
        <f t="shared" ca="1" si="17"/>
        <v>-5383.3184472517569</v>
      </c>
      <c r="AY42" s="3">
        <f t="shared" ca="1" si="17"/>
        <v>-5159.0135119496008</v>
      </c>
      <c r="AZ42" s="3">
        <f t="shared" ca="1" si="17"/>
        <v>-4944.0546156183682</v>
      </c>
      <c r="BA42" s="3">
        <f t="shared" ca="1" si="17"/>
        <v>-4738.0523399676031</v>
      </c>
      <c r="BB42" s="3">
        <f t="shared" ca="1" si="17"/>
        <v>-4540.6334924689527</v>
      </c>
      <c r="BC42" s="3">
        <f t="shared" ca="1" si="17"/>
        <v>-4351.440430282747</v>
      </c>
      <c r="BD42" s="3">
        <f t="shared" ca="1" si="17"/>
        <v>-4170.1304123542986</v>
      </c>
      <c r="BE42" s="3">
        <f t="shared" ca="1" si="17"/>
        <v>-3996.3749785062028</v>
      </c>
      <c r="BF42" s="3">
        <f t="shared" ca="1" si="17"/>
        <v>-3829.8593544017776</v>
      </c>
      <c r="BG42" s="3">
        <f t="shared" ca="1" si="17"/>
        <v>-3670.2818813017038</v>
      </c>
      <c r="BH42" s="3">
        <f t="shared" ca="1" si="17"/>
        <v>-3517.3534695807994</v>
      </c>
      <c r="BI42" s="3">
        <f t="shared" ca="1" si="17"/>
        <v>-3370.7970750149325</v>
      </c>
      <c r="BJ42" s="3">
        <f t="shared" ca="1" si="17"/>
        <v>-3230.3471968893105</v>
      </c>
      <c r="BK42" s="3">
        <f t="shared" ca="1" si="17"/>
        <v>-3095.7493970189221</v>
      </c>
      <c r="BL42" s="3">
        <f t="shared" ca="1" si="17"/>
        <v>-2966.7598388098004</v>
      </c>
      <c r="BM42" s="3">
        <f t="shared" ca="1" si="17"/>
        <v>-2843.1448455260588</v>
      </c>
      <c r="BN42" s="3">
        <f t="shared" ca="1" si="17"/>
        <v>-2724.6804769624728</v>
      </c>
      <c r="BO42" s="3">
        <f t="shared" ca="1" si="17"/>
        <v>-2611.1521237557031</v>
      </c>
      <c r="BP42" s="3">
        <f t="shared" ca="1" si="17"/>
        <v>-2502.3541185992153</v>
      </c>
      <c r="BQ42" s="3">
        <f t="shared" ca="1" si="17"/>
        <v>-2398.0893636575815</v>
      </c>
    </row>
    <row r="45" spans="1:69">
      <c r="B45" s="25" t="s">
        <v>83</v>
      </c>
    </row>
    <row r="46" spans="1:69" outlineLevel="1">
      <c r="E46" s="2" t="str">
        <f t="shared" ref="E46:BQ46" si="18" xml:space="preserve">  E$41</f>
        <v>Asset Finance interest POS</v>
      </c>
      <c r="F46" s="2">
        <f t="shared" si="18"/>
        <v>0</v>
      </c>
      <c r="G46" s="2" t="str">
        <f t="shared" si="18"/>
        <v>GBP</v>
      </c>
      <c r="H46" s="2">
        <f t="shared" ca="1" si="18"/>
        <v>336843.94463587576</v>
      </c>
      <c r="I46" s="2">
        <f t="shared" si="18"/>
        <v>0</v>
      </c>
      <c r="J46" s="2">
        <f t="shared" si="18"/>
        <v>0</v>
      </c>
      <c r="K46" s="2">
        <f t="shared" ca="1" si="18"/>
        <v>0</v>
      </c>
      <c r="L46" s="2">
        <f t="shared" ca="1" si="18"/>
        <v>1166.6666666666667</v>
      </c>
      <c r="M46" s="2">
        <f t="shared" ca="1" si="18"/>
        <v>1118.0555555555557</v>
      </c>
      <c r="N46" s="2">
        <f t="shared" ca="1" si="18"/>
        <v>1071.4699074074076</v>
      </c>
      <c r="O46" s="2">
        <f t="shared" ca="1" si="18"/>
        <v>1026.8253279320988</v>
      </c>
      <c r="P46" s="2">
        <f t="shared" ca="1" si="18"/>
        <v>3317.3742726015948</v>
      </c>
      <c r="Q46" s="2">
        <f t="shared" ca="1" si="18"/>
        <v>3179.1503445765284</v>
      </c>
      <c r="R46" s="2">
        <f t="shared" ca="1" si="18"/>
        <v>3046.6857468858398</v>
      </c>
      <c r="S46" s="2">
        <f t="shared" ca="1" si="18"/>
        <v>2919.7405074322633</v>
      </c>
      <c r="T46" s="2">
        <f t="shared" ca="1" si="18"/>
        <v>5131.4179862892524</v>
      </c>
      <c r="U46" s="2">
        <f t="shared" ca="1" si="18"/>
        <v>4917.6089035272007</v>
      </c>
      <c r="V46" s="2">
        <f t="shared" ca="1" si="18"/>
        <v>7046.0418658802355</v>
      </c>
      <c r="W46" s="2">
        <f t="shared" ca="1" si="18"/>
        <v>9085.7901214685589</v>
      </c>
      <c r="X46" s="2">
        <f t="shared" ca="1" si="18"/>
        <v>8707.2155330740352</v>
      </c>
      <c r="Y46" s="2">
        <f t="shared" ca="1" si="18"/>
        <v>10677.748219195952</v>
      </c>
      <c r="Z46" s="2">
        <f t="shared" ca="1" si="18"/>
        <v>10232.84204339612</v>
      </c>
      <c r="AA46" s="2">
        <f t="shared" ca="1" si="18"/>
        <v>9806.473624921282</v>
      </c>
      <c r="AB46" s="2">
        <f t="shared" ca="1" si="18"/>
        <v>9397.8705572162271</v>
      </c>
      <c r="AC46" s="2">
        <f t="shared" ca="1" si="18"/>
        <v>9006.2926173322194</v>
      </c>
      <c r="AD46" s="2">
        <f t="shared" ca="1" si="18"/>
        <v>8631.0304249433757</v>
      </c>
      <c r="AE46" s="2">
        <f t="shared" ca="1" si="18"/>
        <v>8271.4041572374026</v>
      </c>
      <c r="AF46" s="2">
        <f t="shared" ca="1" si="18"/>
        <v>9093.4289840191759</v>
      </c>
      <c r="AG46" s="2">
        <f t="shared" ca="1" si="18"/>
        <v>9881.2027763517108</v>
      </c>
      <c r="AH46" s="2">
        <f t="shared" ca="1" si="18"/>
        <v>10636.15266067039</v>
      </c>
      <c r="AI46" s="2">
        <f t="shared" ca="1" si="18"/>
        <v>10192.979633142457</v>
      </c>
      <c r="AJ46" s="2">
        <f t="shared" ca="1" si="18"/>
        <v>9768.2721484281883</v>
      </c>
      <c r="AK46" s="2">
        <f t="shared" ca="1" si="18"/>
        <v>9361.2608089103469</v>
      </c>
      <c r="AL46" s="2">
        <f t="shared" ca="1" si="18"/>
        <v>8971.2082752057486</v>
      </c>
      <c r="AM46" s="2">
        <f t="shared" ca="1" si="18"/>
        <v>8597.4079304055085</v>
      </c>
      <c r="AN46" s="2">
        <f t="shared" ca="1" si="18"/>
        <v>8239.1825999719458</v>
      </c>
      <c r="AO46" s="2">
        <f t="shared" ca="1" si="18"/>
        <v>7895.8833249731151</v>
      </c>
      <c r="AP46" s="2">
        <f t="shared" ca="1" si="18"/>
        <v>7566.8881864325695</v>
      </c>
      <c r="AQ46" s="2">
        <f t="shared" ca="1" si="18"/>
        <v>7251.6011786645449</v>
      </c>
      <c r="AR46" s="2">
        <f t="shared" ca="1" si="18"/>
        <v>6949.4511295535222</v>
      </c>
      <c r="AS46" s="2">
        <f t="shared" ca="1" si="18"/>
        <v>6659.8906658221258</v>
      </c>
      <c r="AT46" s="2">
        <f t="shared" ca="1" si="18"/>
        <v>6382.3952214128703</v>
      </c>
      <c r="AU46" s="2">
        <f t="shared" ca="1" si="18"/>
        <v>6116.462087187334</v>
      </c>
      <c r="AV46" s="2">
        <f t="shared" ca="1" si="18"/>
        <v>5861.609500221195</v>
      </c>
      <c r="AW46" s="2">
        <f t="shared" ca="1" si="18"/>
        <v>5617.3757710453119</v>
      </c>
      <c r="AX46" s="2">
        <f t="shared" ca="1" si="18"/>
        <v>5383.3184472517569</v>
      </c>
      <c r="AY46" s="2">
        <f t="shared" ca="1" si="18"/>
        <v>5159.0135119496008</v>
      </c>
      <c r="AZ46" s="2">
        <f t="shared" ca="1" si="18"/>
        <v>4944.0546156183682</v>
      </c>
      <c r="BA46" s="2">
        <f t="shared" ca="1" si="18"/>
        <v>4738.0523399676031</v>
      </c>
      <c r="BB46" s="2">
        <f t="shared" ca="1" si="18"/>
        <v>4540.6334924689527</v>
      </c>
      <c r="BC46" s="2">
        <f t="shared" ca="1" si="18"/>
        <v>4351.440430282747</v>
      </c>
      <c r="BD46" s="2">
        <f t="shared" ca="1" si="18"/>
        <v>4170.1304123542986</v>
      </c>
      <c r="BE46" s="2">
        <f t="shared" ca="1" si="18"/>
        <v>3996.3749785062028</v>
      </c>
      <c r="BF46" s="2">
        <f t="shared" ca="1" si="18"/>
        <v>3829.8593544017776</v>
      </c>
      <c r="BG46" s="2">
        <f t="shared" ca="1" si="18"/>
        <v>3670.2818813017038</v>
      </c>
      <c r="BH46" s="2">
        <f t="shared" ca="1" si="18"/>
        <v>3517.3534695807994</v>
      </c>
      <c r="BI46" s="2">
        <f t="shared" ca="1" si="18"/>
        <v>3370.7970750149325</v>
      </c>
      <c r="BJ46" s="2">
        <f t="shared" ca="1" si="18"/>
        <v>3230.3471968893105</v>
      </c>
      <c r="BK46" s="2">
        <f t="shared" ca="1" si="18"/>
        <v>3095.7493970189221</v>
      </c>
      <c r="BL46" s="2">
        <f t="shared" ca="1" si="18"/>
        <v>2966.7598388098004</v>
      </c>
      <c r="BM46" s="2">
        <f t="shared" ca="1" si="18"/>
        <v>2843.1448455260588</v>
      </c>
      <c r="BN46" s="2">
        <f t="shared" ca="1" si="18"/>
        <v>2724.6804769624728</v>
      </c>
      <c r="BO46" s="2">
        <f t="shared" ca="1" si="18"/>
        <v>2611.1521237557031</v>
      </c>
      <c r="BP46" s="2">
        <f t="shared" ca="1" si="18"/>
        <v>2502.3541185992153</v>
      </c>
      <c r="BQ46" s="2">
        <f t="shared" ca="1" si="18"/>
        <v>2398.0893636575815</v>
      </c>
    </row>
    <row r="47" spans="1:69" outlineLevel="1">
      <c r="E47" s="47" t="s">
        <v>252</v>
      </c>
      <c r="G47" s="47" t="s">
        <v>258</v>
      </c>
      <c r="H47" s="2">
        <f t="shared" ref="H47:H48" ca="1" si="19" xml:space="preserve"> SUM( J47:BQ47 )</f>
        <v>336843.94463587576</v>
      </c>
      <c r="J47" s="2">
        <f t="shared" ref="J47:BQ47" si="20" xml:space="preserve">  J46</f>
        <v>0</v>
      </c>
      <c r="K47" s="2">
        <f t="shared" ca="1" si="20"/>
        <v>0</v>
      </c>
      <c r="L47" s="2">
        <f t="shared" ca="1" si="20"/>
        <v>1166.6666666666667</v>
      </c>
      <c r="M47" s="2">
        <f t="shared" ca="1" si="20"/>
        <v>1118.0555555555557</v>
      </c>
      <c r="N47" s="2">
        <f t="shared" ca="1" si="20"/>
        <v>1071.4699074074076</v>
      </c>
      <c r="O47" s="2">
        <f t="shared" ca="1" si="20"/>
        <v>1026.8253279320988</v>
      </c>
      <c r="P47" s="2">
        <f t="shared" ca="1" si="20"/>
        <v>3317.3742726015948</v>
      </c>
      <c r="Q47" s="2">
        <f t="shared" ca="1" si="20"/>
        <v>3179.1503445765284</v>
      </c>
      <c r="R47" s="2">
        <f t="shared" ca="1" si="20"/>
        <v>3046.6857468858398</v>
      </c>
      <c r="S47" s="2">
        <f t="shared" ca="1" si="20"/>
        <v>2919.7405074322633</v>
      </c>
      <c r="T47" s="2">
        <f t="shared" ca="1" si="20"/>
        <v>5131.4179862892524</v>
      </c>
      <c r="U47" s="2">
        <f t="shared" ca="1" si="20"/>
        <v>4917.6089035272007</v>
      </c>
      <c r="V47" s="2">
        <f t="shared" ca="1" si="20"/>
        <v>7046.0418658802355</v>
      </c>
      <c r="W47" s="2">
        <f t="shared" ca="1" si="20"/>
        <v>9085.7901214685589</v>
      </c>
      <c r="X47" s="2">
        <f t="shared" ca="1" si="20"/>
        <v>8707.2155330740352</v>
      </c>
      <c r="Y47" s="2">
        <f t="shared" ca="1" si="20"/>
        <v>10677.748219195952</v>
      </c>
      <c r="Z47" s="2">
        <f t="shared" ca="1" si="20"/>
        <v>10232.84204339612</v>
      </c>
      <c r="AA47" s="2">
        <f t="shared" ca="1" si="20"/>
        <v>9806.473624921282</v>
      </c>
      <c r="AB47" s="2">
        <f t="shared" ca="1" si="20"/>
        <v>9397.8705572162271</v>
      </c>
      <c r="AC47" s="2">
        <f t="shared" ca="1" si="20"/>
        <v>9006.2926173322194</v>
      </c>
      <c r="AD47" s="2">
        <f t="shared" ca="1" si="20"/>
        <v>8631.0304249433757</v>
      </c>
      <c r="AE47" s="2">
        <f t="shared" ca="1" si="20"/>
        <v>8271.4041572374026</v>
      </c>
      <c r="AF47" s="2">
        <f t="shared" ca="1" si="20"/>
        <v>9093.4289840191759</v>
      </c>
      <c r="AG47" s="2">
        <f t="shared" ca="1" si="20"/>
        <v>9881.2027763517108</v>
      </c>
      <c r="AH47" s="2">
        <f t="shared" ca="1" si="20"/>
        <v>10636.15266067039</v>
      </c>
      <c r="AI47" s="2">
        <f t="shared" ca="1" si="20"/>
        <v>10192.979633142457</v>
      </c>
      <c r="AJ47" s="2">
        <f t="shared" ca="1" si="20"/>
        <v>9768.2721484281883</v>
      </c>
      <c r="AK47" s="2">
        <f t="shared" ca="1" si="20"/>
        <v>9361.2608089103469</v>
      </c>
      <c r="AL47" s="2">
        <f t="shared" ca="1" si="20"/>
        <v>8971.2082752057486</v>
      </c>
      <c r="AM47" s="2">
        <f t="shared" ca="1" si="20"/>
        <v>8597.4079304055085</v>
      </c>
      <c r="AN47" s="2">
        <f t="shared" ca="1" si="20"/>
        <v>8239.1825999719458</v>
      </c>
      <c r="AO47" s="2">
        <f t="shared" ca="1" si="20"/>
        <v>7895.8833249731151</v>
      </c>
      <c r="AP47" s="2">
        <f t="shared" ca="1" si="20"/>
        <v>7566.8881864325695</v>
      </c>
      <c r="AQ47" s="2">
        <f t="shared" ca="1" si="20"/>
        <v>7251.6011786645449</v>
      </c>
      <c r="AR47" s="2">
        <f t="shared" ca="1" si="20"/>
        <v>6949.4511295535222</v>
      </c>
      <c r="AS47" s="2">
        <f t="shared" ca="1" si="20"/>
        <v>6659.8906658221258</v>
      </c>
      <c r="AT47" s="2">
        <f t="shared" ca="1" si="20"/>
        <v>6382.3952214128703</v>
      </c>
      <c r="AU47" s="2">
        <f t="shared" ca="1" si="20"/>
        <v>6116.462087187334</v>
      </c>
      <c r="AV47" s="2">
        <f t="shared" ca="1" si="20"/>
        <v>5861.609500221195</v>
      </c>
      <c r="AW47" s="2">
        <f t="shared" ca="1" si="20"/>
        <v>5617.3757710453119</v>
      </c>
      <c r="AX47" s="2">
        <f t="shared" ca="1" si="20"/>
        <v>5383.3184472517569</v>
      </c>
      <c r="AY47" s="2">
        <f t="shared" ca="1" si="20"/>
        <v>5159.0135119496008</v>
      </c>
      <c r="AZ47" s="2">
        <f t="shared" ca="1" si="20"/>
        <v>4944.0546156183682</v>
      </c>
      <c r="BA47" s="2">
        <f t="shared" ca="1" si="20"/>
        <v>4738.0523399676031</v>
      </c>
      <c r="BB47" s="2">
        <f t="shared" ca="1" si="20"/>
        <v>4540.6334924689527</v>
      </c>
      <c r="BC47" s="2">
        <f t="shared" ca="1" si="20"/>
        <v>4351.440430282747</v>
      </c>
      <c r="BD47" s="2">
        <f t="shared" ca="1" si="20"/>
        <v>4170.1304123542986</v>
      </c>
      <c r="BE47" s="2">
        <f t="shared" ca="1" si="20"/>
        <v>3996.3749785062028</v>
      </c>
      <c r="BF47" s="2">
        <f t="shared" ca="1" si="20"/>
        <v>3829.8593544017776</v>
      </c>
      <c r="BG47" s="2">
        <f t="shared" ca="1" si="20"/>
        <v>3670.2818813017038</v>
      </c>
      <c r="BH47" s="2">
        <f t="shared" ca="1" si="20"/>
        <v>3517.3534695807994</v>
      </c>
      <c r="BI47" s="2">
        <f t="shared" ca="1" si="20"/>
        <v>3370.7970750149325</v>
      </c>
      <c r="BJ47" s="2">
        <f t="shared" ca="1" si="20"/>
        <v>3230.3471968893105</v>
      </c>
      <c r="BK47" s="2">
        <f t="shared" ca="1" si="20"/>
        <v>3095.7493970189221</v>
      </c>
      <c r="BL47" s="2">
        <f t="shared" ca="1" si="20"/>
        <v>2966.7598388098004</v>
      </c>
      <c r="BM47" s="2">
        <f t="shared" ca="1" si="20"/>
        <v>2843.1448455260588</v>
      </c>
      <c r="BN47" s="2">
        <f t="shared" ca="1" si="20"/>
        <v>2724.6804769624728</v>
      </c>
      <c r="BO47" s="2">
        <f t="shared" ca="1" si="20"/>
        <v>2611.1521237557031</v>
      </c>
      <c r="BP47" s="2">
        <f t="shared" ca="1" si="20"/>
        <v>2502.3541185992153</v>
      </c>
      <c r="BQ47" s="2">
        <f t="shared" ca="1" si="20"/>
        <v>2398.0893636575815</v>
      </c>
    </row>
    <row r="48" spans="1:69" outlineLevel="1">
      <c r="A48" s="34"/>
      <c r="B48" s="34"/>
      <c r="C48" s="64"/>
      <c r="D48" s="65"/>
      <c r="E48" s="21" t="str">
        <f xml:space="preserve"> LEFT($E$47, LEN($E$47) - 3 )</f>
        <v xml:space="preserve">Asset Finance interest paid </v>
      </c>
      <c r="F48" s="21"/>
      <c r="G48" s="21" t="str">
        <f xml:space="preserve"> G$47</f>
        <v>GBP</v>
      </c>
      <c r="H48" s="3">
        <f t="shared" ca="1" si="19"/>
        <v>-336843.94463587576</v>
      </c>
      <c r="I48" s="21"/>
      <c r="J48" s="3">
        <f t="shared" ref="J48:BQ48" si="21" xml:space="preserve"> -1 * J47</f>
        <v>0</v>
      </c>
      <c r="K48" s="3">
        <f t="shared" ca="1" si="21"/>
        <v>0</v>
      </c>
      <c r="L48" s="3">
        <f t="shared" ca="1" si="21"/>
        <v>-1166.6666666666667</v>
      </c>
      <c r="M48" s="3">
        <f t="shared" ca="1" si="21"/>
        <v>-1118.0555555555557</v>
      </c>
      <c r="N48" s="3">
        <f t="shared" ca="1" si="21"/>
        <v>-1071.4699074074076</v>
      </c>
      <c r="O48" s="3">
        <f t="shared" ca="1" si="21"/>
        <v>-1026.8253279320988</v>
      </c>
      <c r="P48" s="3">
        <f t="shared" ca="1" si="21"/>
        <v>-3317.3742726015948</v>
      </c>
      <c r="Q48" s="3">
        <f t="shared" ca="1" si="21"/>
        <v>-3179.1503445765284</v>
      </c>
      <c r="R48" s="3">
        <f t="shared" ca="1" si="21"/>
        <v>-3046.6857468858398</v>
      </c>
      <c r="S48" s="3">
        <f t="shared" ca="1" si="21"/>
        <v>-2919.7405074322633</v>
      </c>
      <c r="T48" s="3">
        <f t="shared" ca="1" si="21"/>
        <v>-5131.4179862892524</v>
      </c>
      <c r="U48" s="3">
        <f t="shared" ca="1" si="21"/>
        <v>-4917.6089035272007</v>
      </c>
      <c r="V48" s="3">
        <f t="shared" ca="1" si="21"/>
        <v>-7046.0418658802355</v>
      </c>
      <c r="W48" s="3">
        <f t="shared" ca="1" si="21"/>
        <v>-9085.7901214685589</v>
      </c>
      <c r="X48" s="3">
        <f t="shared" ca="1" si="21"/>
        <v>-8707.2155330740352</v>
      </c>
      <c r="Y48" s="3">
        <f t="shared" ca="1" si="21"/>
        <v>-10677.748219195952</v>
      </c>
      <c r="Z48" s="3">
        <f t="shared" ca="1" si="21"/>
        <v>-10232.84204339612</v>
      </c>
      <c r="AA48" s="3">
        <f t="shared" ca="1" si="21"/>
        <v>-9806.473624921282</v>
      </c>
      <c r="AB48" s="3">
        <f t="shared" ca="1" si="21"/>
        <v>-9397.8705572162271</v>
      </c>
      <c r="AC48" s="3">
        <f t="shared" ca="1" si="21"/>
        <v>-9006.2926173322194</v>
      </c>
      <c r="AD48" s="3">
        <f t="shared" ca="1" si="21"/>
        <v>-8631.0304249433757</v>
      </c>
      <c r="AE48" s="3">
        <f t="shared" ca="1" si="21"/>
        <v>-8271.4041572374026</v>
      </c>
      <c r="AF48" s="3">
        <f t="shared" ca="1" si="21"/>
        <v>-9093.4289840191759</v>
      </c>
      <c r="AG48" s="3">
        <f t="shared" ca="1" si="21"/>
        <v>-9881.2027763517108</v>
      </c>
      <c r="AH48" s="3">
        <f t="shared" ca="1" si="21"/>
        <v>-10636.15266067039</v>
      </c>
      <c r="AI48" s="3">
        <f t="shared" ca="1" si="21"/>
        <v>-10192.979633142457</v>
      </c>
      <c r="AJ48" s="3">
        <f t="shared" ca="1" si="21"/>
        <v>-9768.2721484281883</v>
      </c>
      <c r="AK48" s="3">
        <f t="shared" ca="1" si="21"/>
        <v>-9361.2608089103469</v>
      </c>
      <c r="AL48" s="3">
        <f t="shared" ca="1" si="21"/>
        <v>-8971.2082752057486</v>
      </c>
      <c r="AM48" s="3">
        <f t="shared" ca="1" si="21"/>
        <v>-8597.4079304055085</v>
      </c>
      <c r="AN48" s="3">
        <f t="shared" ca="1" si="21"/>
        <v>-8239.1825999719458</v>
      </c>
      <c r="AO48" s="3">
        <f t="shared" ca="1" si="21"/>
        <v>-7895.8833249731151</v>
      </c>
      <c r="AP48" s="3">
        <f t="shared" ca="1" si="21"/>
        <v>-7566.8881864325695</v>
      </c>
      <c r="AQ48" s="3">
        <f t="shared" ca="1" si="21"/>
        <v>-7251.6011786645449</v>
      </c>
      <c r="AR48" s="3">
        <f t="shared" ca="1" si="21"/>
        <v>-6949.4511295535222</v>
      </c>
      <c r="AS48" s="3">
        <f t="shared" ca="1" si="21"/>
        <v>-6659.8906658221258</v>
      </c>
      <c r="AT48" s="3">
        <f t="shared" ca="1" si="21"/>
        <v>-6382.3952214128703</v>
      </c>
      <c r="AU48" s="3">
        <f t="shared" ca="1" si="21"/>
        <v>-6116.462087187334</v>
      </c>
      <c r="AV48" s="3">
        <f t="shared" ca="1" si="21"/>
        <v>-5861.609500221195</v>
      </c>
      <c r="AW48" s="3">
        <f t="shared" ca="1" si="21"/>
        <v>-5617.3757710453119</v>
      </c>
      <c r="AX48" s="3">
        <f t="shared" ca="1" si="21"/>
        <v>-5383.3184472517569</v>
      </c>
      <c r="AY48" s="3">
        <f t="shared" ca="1" si="21"/>
        <v>-5159.0135119496008</v>
      </c>
      <c r="AZ48" s="3">
        <f t="shared" ca="1" si="21"/>
        <v>-4944.0546156183682</v>
      </c>
      <c r="BA48" s="3">
        <f t="shared" ca="1" si="21"/>
        <v>-4738.0523399676031</v>
      </c>
      <c r="BB48" s="3">
        <f t="shared" ca="1" si="21"/>
        <v>-4540.6334924689527</v>
      </c>
      <c r="BC48" s="3">
        <f t="shared" ca="1" si="21"/>
        <v>-4351.440430282747</v>
      </c>
      <c r="BD48" s="3">
        <f t="shared" ca="1" si="21"/>
        <v>-4170.1304123542986</v>
      </c>
      <c r="BE48" s="3">
        <f t="shared" ca="1" si="21"/>
        <v>-3996.3749785062028</v>
      </c>
      <c r="BF48" s="3">
        <f t="shared" ca="1" si="21"/>
        <v>-3829.8593544017776</v>
      </c>
      <c r="BG48" s="3">
        <f t="shared" ca="1" si="21"/>
        <v>-3670.2818813017038</v>
      </c>
      <c r="BH48" s="3">
        <f t="shared" ca="1" si="21"/>
        <v>-3517.3534695807994</v>
      </c>
      <c r="BI48" s="3">
        <f t="shared" ca="1" si="21"/>
        <v>-3370.7970750149325</v>
      </c>
      <c r="BJ48" s="3">
        <f t="shared" ca="1" si="21"/>
        <v>-3230.3471968893105</v>
      </c>
      <c r="BK48" s="3">
        <f t="shared" ca="1" si="21"/>
        <v>-3095.7493970189221</v>
      </c>
      <c r="BL48" s="3">
        <f t="shared" ca="1" si="21"/>
        <v>-2966.7598388098004</v>
      </c>
      <c r="BM48" s="3">
        <f t="shared" ca="1" si="21"/>
        <v>-2843.1448455260588</v>
      </c>
      <c r="BN48" s="3">
        <f t="shared" ca="1" si="21"/>
        <v>-2724.6804769624728</v>
      </c>
      <c r="BO48" s="3">
        <f t="shared" ca="1" si="21"/>
        <v>-2611.1521237557031</v>
      </c>
      <c r="BP48" s="3">
        <f t="shared" ca="1" si="21"/>
        <v>-2502.3541185992153</v>
      </c>
      <c r="BQ48" s="3">
        <f t="shared" ca="1" si="21"/>
        <v>-2398.0893636575815</v>
      </c>
    </row>
    <row r="51" spans="1:13">
      <c r="B51" s="25" t="s">
        <v>247</v>
      </c>
    </row>
    <row r="52" spans="1:13" outlineLevel="1">
      <c r="A52" s="18"/>
      <c r="B52" s="18"/>
      <c r="C52" s="28"/>
      <c r="D52" s="27"/>
      <c r="E52" s="42" t="str">
        <f xml:space="preserve">  InpC!E$76</f>
        <v>All in Trade finance annual interest rate</v>
      </c>
      <c r="F52" s="42">
        <f xml:space="preserve">  InpC!F$76</f>
        <v>0.08</v>
      </c>
      <c r="G52" s="42" t="str">
        <f xml:space="preserve">  InpC!G$76</f>
        <v>%</v>
      </c>
      <c r="M52" s="57"/>
    </row>
    <row r="53" spans="1:13" outlineLevel="1">
      <c r="A53" s="18"/>
      <c r="B53" s="18"/>
      <c r="C53" s="28"/>
      <c r="D53" s="27"/>
      <c r="E53" s="4" t="str">
        <f xml:space="preserve">  InpC!E$57</f>
        <v>debt day count convention</v>
      </c>
      <c r="F53" s="4">
        <f xml:space="preserve">  InpC!F$57</f>
        <v>360</v>
      </c>
      <c r="G53" s="4" t="str">
        <f xml:space="preserve">  InpC!G$57</f>
        <v>day</v>
      </c>
      <c r="M53" s="2"/>
    </row>
    <row r="54" spans="1:13" outlineLevel="1">
      <c r="A54" s="18"/>
      <c r="B54" s="18"/>
      <c r="C54" s="28"/>
      <c r="D54" s="27"/>
      <c r="E54" s="4" t="str">
        <f xml:space="preserve">  InpC!E$56</f>
        <v>Days in period</v>
      </c>
      <c r="F54" s="4">
        <f xml:space="preserve">  InpC!F$56</f>
        <v>30</v>
      </c>
      <c r="G54" s="4" t="str">
        <f xml:space="preserve">  InpC!G$56</f>
        <v>day</v>
      </c>
      <c r="M54" s="2"/>
    </row>
    <row r="55" spans="1:13" outlineLevel="1">
      <c r="E55" s="47" t="s">
        <v>247</v>
      </c>
      <c r="F55" s="57">
        <f xml:space="preserve">  $F52 / $F53 * $F54</f>
        <v>6.6666666666666671E-3</v>
      </c>
      <c r="G55" s="47" t="s">
        <v>208</v>
      </c>
      <c r="M55" s="57"/>
    </row>
    <row r="58" spans="1:13">
      <c r="B58" s="25" t="s">
        <v>271</v>
      </c>
    </row>
  </sheetData>
  <conditionalFormatting sqref="F3">
    <cfRule type="cellIs" dxfId="230" priority="13" stopIfTrue="1" operator="notEqual">
      <formula>0</formula>
    </cfRule>
    <cfRule type="cellIs" dxfId="229" priority="14" stopIfTrue="1" operator="equal">
      <formula>""</formula>
    </cfRule>
  </conditionalFormatting>
  <conditionalFormatting sqref="J3:BQ3">
    <cfRule type="cellIs" dxfId="228" priority="11" stopIfTrue="1" operator="equal">
      <formula>"Construction"</formula>
    </cfRule>
    <cfRule type="cellIs" dxfId="227" priority="12" stopIfTrue="1" operator="equal">
      <formula>"Operations"</formula>
    </cfRule>
  </conditionalFormatting>
  <conditionalFormatting sqref="J3:BQ3">
    <cfRule type="cellIs" dxfId="226" priority="10" operator="equal">
      <formula>"Fin Close"</formula>
    </cfRule>
  </conditionalFormatting>
  <conditionalFormatting sqref="J3:BQ3">
    <cfRule type="cellIs" dxfId="225" priority="8" operator="equal">
      <formula>"PPA ext."</formula>
    </cfRule>
    <cfRule type="cellIs" dxfId="224" priority="9" operator="equal">
      <formula>"Delay"</formula>
    </cfRule>
  </conditionalFormatting>
  <conditionalFormatting sqref="F2">
    <cfRule type="cellIs" dxfId="223" priority="1" stopIfTrue="1" operator="notEqual">
      <formula>0</formula>
    </cfRule>
    <cfRule type="cellIs" dxfId="222"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1"/>
  <cols>
    <col min="1" max="2" width="1.44140625" style="25" customWidth="1"/>
    <col min="3" max="3" width="1.44140625" style="62" customWidth="1"/>
    <col min="4" max="4" width="1.44140625" style="91" customWidth="1"/>
    <col min="5" max="5" width="46.554687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2.44140625" style="47" bestFit="1" customWidth="1"/>
    <col min="49" max="49" width="12.33203125" style="47" bestFit="1" customWidth="1"/>
    <col min="50" max="50" width="12.21875" style="47" bestFit="1" customWidth="1"/>
    <col min="51" max="51" width="12.44140625" style="47" bestFit="1" customWidth="1"/>
    <col min="52" max="52" width="12.33203125" style="47" bestFit="1" customWidth="1"/>
    <col min="53" max="53" width="12.21875" style="47" bestFit="1" customWidth="1"/>
    <col min="54" max="54" width="12.44140625" style="47" bestFit="1" customWidth="1"/>
    <col min="55" max="55" width="12.109375" style="47" bestFit="1" customWidth="1"/>
    <col min="56" max="56" width="12" style="47" bestFit="1" customWidth="1"/>
    <col min="57" max="57" width="12.44140625" style="47" bestFit="1" customWidth="1"/>
    <col min="58" max="58" width="12.33203125" style="47" bestFit="1" customWidth="1"/>
    <col min="59" max="59" width="12.109375" style="47" bestFit="1" customWidth="1"/>
    <col min="60" max="60" width="12.44140625" style="47" bestFit="1" customWidth="1"/>
    <col min="61" max="61" width="12.33203125" style="47" bestFit="1" customWidth="1"/>
    <col min="62" max="62" width="13.21875" style="47" bestFit="1" customWidth="1"/>
    <col min="63" max="63" width="12.44140625" style="47" bestFit="1" customWidth="1"/>
    <col min="64"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VAT</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346</v>
      </c>
    </row>
    <row r="9" spans="1:69" outlineLevel="1">
      <c r="A9" s="18"/>
      <c r="B9" s="18"/>
      <c r="C9" s="28"/>
      <c r="D9" s="27"/>
      <c r="E9" s="4" t="str">
        <f xml:space="preserve">  Inventory!E$11</f>
        <v>VAT on inventory</v>
      </c>
      <c r="F9" s="4">
        <f xml:space="preserve">  Inventory!F$11</f>
        <v>0</v>
      </c>
      <c r="G9" s="4" t="str">
        <f xml:space="preserve">  Inventory!G$11</f>
        <v>GBP</v>
      </c>
      <c r="H9" s="4">
        <f ca="1" xml:space="preserve">  Inventory!H$11</f>
        <v>11480000</v>
      </c>
      <c r="I9" s="4">
        <f xml:space="preserve">  Inventory!I$11</f>
        <v>0</v>
      </c>
      <c r="J9" s="4">
        <f xml:space="preserve">  Inventory!J$11</f>
        <v>0</v>
      </c>
      <c r="K9" s="4">
        <f xml:space="preserve">  Inventory!K$11</f>
        <v>0</v>
      </c>
      <c r="L9" s="4">
        <f xml:space="preserve">  Inventory!L$11</f>
        <v>70000</v>
      </c>
      <c r="M9" s="4">
        <f xml:space="preserve">  Inventory!M$11</f>
        <v>70000</v>
      </c>
      <c r="N9" s="4">
        <f xml:space="preserve">  Inventory!N$11</f>
        <v>70000</v>
      </c>
      <c r="O9" s="4">
        <f xml:space="preserve">  Inventory!O$11</f>
        <v>0</v>
      </c>
      <c r="P9" s="4">
        <f xml:space="preserve">  Inventory!P$11</f>
        <v>70000</v>
      </c>
      <c r="Q9" s="4">
        <f xml:space="preserve">  Inventory!Q$11</f>
        <v>0</v>
      </c>
      <c r="R9" s="4">
        <f xml:space="preserve">  Inventory!R$11</f>
        <v>70000</v>
      </c>
      <c r="S9" s="4">
        <f xml:space="preserve">  Inventory!S$11</f>
        <v>0</v>
      </c>
      <c r="T9" s="4">
        <f xml:space="preserve">  Inventory!T$11</f>
        <v>0</v>
      </c>
      <c r="U9" s="4">
        <f xml:space="preserve">  Inventory!U$11</f>
        <v>0</v>
      </c>
      <c r="V9" s="4">
        <f ca="1" xml:space="preserve">  Inventory!V$11</f>
        <v>0</v>
      </c>
      <c r="W9" s="4">
        <f ca="1" xml:space="preserve">  Inventory!W$11</f>
        <v>0</v>
      </c>
      <c r="X9" s="4">
        <f ca="1" xml:space="preserve">  Inventory!X$11</f>
        <v>0</v>
      </c>
      <c r="Y9" s="4">
        <f ca="1" xml:space="preserve">  Inventory!Y$11</f>
        <v>35000</v>
      </c>
      <c r="Z9" s="4">
        <f ca="1" xml:space="preserve">  Inventory!Z$11</f>
        <v>35000</v>
      </c>
      <c r="AA9" s="4">
        <f ca="1" xml:space="preserve">  Inventory!AA$11</f>
        <v>35000</v>
      </c>
      <c r="AB9" s="4">
        <f ca="1" xml:space="preserve">  Inventory!AB$11</f>
        <v>70000</v>
      </c>
      <c r="AC9" s="4">
        <f ca="1" xml:space="preserve">  Inventory!AC$11</f>
        <v>70000</v>
      </c>
      <c r="AD9" s="4">
        <f ca="1" xml:space="preserve">  Inventory!AD$11</f>
        <v>35000</v>
      </c>
      <c r="AE9" s="4">
        <f ca="1" xml:space="preserve">  Inventory!AE$11</f>
        <v>70000</v>
      </c>
      <c r="AF9" s="4">
        <f ca="1" xml:space="preserve">  Inventory!AF$11</f>
        <v>70000</v>
      </c>
      <c r="AG9" s="4">
        <f ca="1" xml:space="preserve">  Inventory!AG$11</f>
        <v>70000</v>
      </c>
      <c r="AH9" s="4">
        <f ca="1" xml:space="preserve">  Inventory!AH$11</f>
        <v>70000</v>
      </c>
      <c r="AI9" s="4">
        <f ca="1" xml:space="preserve">  Inventory!AI$11</f>
        <v>105000</v>
      </c>
      <c r="AJ9" s="4">
        <f ca="1" xml:space="preserve">  Inventory!AJ$11</f>
        <v>70000</v>
      </c>
      <c r="AK9" s="4">
        <f ca="1" xml:space="preserve">  Inventory!AK$11</f>
        <v>105000</v>
      </c>
      <c r="AL9" s="4">
        <f ca="1" xml:space="preserve">  Inventory!AL$11</f>
        <v>105000</v>
      </c>
      <c r="AM9" s="4">
        <f ca="1" xml:space="preserve">  Inventory!AM$11</f>
        <v>105000</v>
      </c>
      <c r="AN9" s="4">
        <f ca="1" xml:space="preserve">  Inventory!AN$11</f>
        <v>140000</v>
      </c>
      <c r="AO9" s="4">
        <f ca="1" xml:space="preserve">  Inventory!AO$11</f>
        <v>140000</v>
      </c>
      <c r="AP9" s="4">
        <f ca="1" xml:space="preserve">  Inventory!AP$11</f>
        <v>140000</v>
      </c>
      <c r="AQ9" s="4">
        <f ca="1" xml:space="preserve">  Inventory!AQ$11</f>
        <v>175000</v>
      </c>
      <c r="AR9" s="4">
        <f ca="1" xml:space="preserve">  Inventory!AR$11</f>
        <v>140000</v>
      </c>
      <c r="AS9" s="4">
        <f ca="1" xml:space="preserve">  Inventory!AS$11</f>
        <v>175000</v>
      </c>
      <c r="AT9" s="4">
        <f ca="1" xml:space="preserve">  Inventory!AT$11</f>
        <v>210000</v>
      </c>
      <c r="AU9" s="4">
        <f ca="1" xml:space="preserve">  Inventory!AU$11</f>
        <v>175000</v>
      </c>
      <c r="AV9" s="4">
        <f ca="1" xml:space="preserve">  Inventory!AV$11</f>
        <v>210000</v>
      </c>
      <c r="AW9" s="4">
        <f ca="1" xml:space="preserve">  Inventory!AW$11</f>
        <v>210000</v>
      </c>
      <c r="AX9" s="4">
        <f ca="1" xml:space="preserve">  Inventory!AX$11</f>
        <v>245000</v>
      </c>
      <c r="AY9" s="4">
        <f ca="1" xml:space="preserve">  Inventory!AY$11</f>
        <v>245000</v>
      </c>
      <c r="AZ9" s="4">
        <f ca="1" xml:space="preserve">  Inventory!AZ$11</f>
        <v>245000</v>
      </c>
      <c r="BA9" s="4">
        <f ca="1" xml:space="preserve">  Inventory!BA$11</f>
        <v>280000</v>
      </c>
      <c r="BB9" s="4">
        <f ca="1" xml:space="preserve">  Inventory!BB$11</f>
        <v>280000</v>
      </c>
      <c r="BC9" s="4">
        <f ca="1" xml:space="preserve">  Inventory!BC$11</f>
        <v>315000</v>
      </c>
      <c r="BD9" s="4">
        <f ca="1" xml:space="preserve">  Inventory!BD$11</f>
        <v>315000</v>
      </c>
      <c r="BE9" s="4">
        <f ca="1" xml:space="preserve">  Inventory!BE$11</f>
        <v>350000</v>
      </c>
      <c r="BF9" s="4">
        <f ca="1" xml:space="preserve">  Inventory!BF$11</f>
        <v>350000</v>
      </c>
      <c r="BG9" s="4">
        <f ca="1" xml:space="preserve">  Inventory!BG$11</f>
        <v>385000</v>
      </c>
      <c r="BH9" s="4">
        <f ca="1" xml:space="preserve">  Inventory!BH$11</f>
        <v>420000</v>
      </c>
      <c r="BI9" s="4">
        <f ca="1" xml:space="preserve">  Inventory!BI$11</f>
        <v>420000</v>
      </c>
      <c r="BJ9" s="4">
        <f ca="1" xml:space="preserve">  Inventory!BJ$11</f>
        <v>455000</v>
      </c>
      <c r="BK9" s="4">
        <f ca="1" xml:space="preserve">  Inventory!BK$11</f>
        <v>490000</v>
      </c>
      <c r="BL9" s="4">
        <f ca="1" xml:space="preserve">  Inventory!BL$11</f>
        <v>525000</v>
      </c>
      <c r="BM9" s="4">
        <f ca="1" xml:space="preserve">  Inventory!BM$11</f>
        <v>525000</v>
      </c>
      <c r="BN9" s="4">
        <f ca="1" xml:space="preserve">  Inventory!BN$11</f>
        <v>595000</v>
      </c>
      <c r="BO9" s="4">
        <f ca="1" xml:space="preserve">  Inventory!BO$11</f>
        <v>595000</v>
      </c>
      <c r="BP9" s="4">
        <f ca="1" xml:space="preserve">  Inventory!BP$11</f>
        <v>665000</v>
      </c>
      <c r="BQ9" s="4">
        <f ca="1" xml:space="preserve">  Inventory!BQ$11</f>
        <v>665000</v>
      </c>
    </row>
    <row r="10" spans="1:69" outlineLevel="1">
      <c r="A10" s="18"/>
      <c r="B10" s="18"/>
      <c r="C10" s="28"/>
      <c r="D10" s="27"/>
      <c r="E10" s="4" t="str">
        <f xml:space="preserve">  Expense!E$13</f>
        <v>VAT on operating expense</v>
      </c>
      <c r="F10" s="4">
        <f xml:space="preserve">  Expense!F$13</f>
        <v>0</v>
      </c>
      <c r="G10" s="4" t="str">
        <f xml:space="preserve">  Expense!G$13</f>
        <v>GBP</v>
      </c>
      <c r="H10" s="4">
        <f ca="1" xml:space="preserve">  Expense!H$13</f>
        <v>2716493.2227470176</v>
      </c>
      <c r="I10" s="4">
        <f xml:space="preserve">  Expense!I$13</f>
        <v>0</v>
      </c>
      <c r="J10" s="4">
        <f ca="1" xml:space="preserve">  Expense!J$13</f>
        <v>5940</v>
      </c>
      <c r="K10" s="4">
        <f ca="1" xml:space="preserve">  Expense!K$13</f>
        <v>5940</v>
      </c>
      <c r="L10" s="4">
        <f ca="1" xml:space="preserve">  Expense!L$13</f>
        <v>5940</v>
      </c>
      <c r="M10" s="4">
        <f ca="1" xml:space="preserve">  Expense!M$13</f>
        <v>6049.4142332421934</v>
      </c>
      <c r="N10" s="4">
        <f ca="1" xml:space="preserve">  Expense!N$13</f>
        <v>8929.4142332421943</v>
      </c>
      <c r="O10" s="4">
        <f ca="1" xml:space="preserve">  Expense!O$13</f>
        <v>8929.4142332421943</v>
      </c>
      <c r="P10" s="4">
        <f ca="1" xml:space="preserve">  Expense!P$13</f>
        <v>9041.488794136827</v>
      </c>
      <c r="Q10" s="4">
        <f ca="1" xml:space="preserve">  Expense!Q$13</f>
        <v>11921.488794136827</v>
      </c>
      <c r="R10" s="4">
        <f ca="1" xml:space="preserve">  Expense!R$13</f>
        <v>11921.488794136827</v>
      </c>
      <c r="S10" s="4">
        <f ca="1" xml:space="preserve">  Expense!S$13</f>
        <v>12036.288366619512</v>
      </c>
      <c r="T10" s="4">
        <f ca="1" xml:space="preserve">  Expense!T$13</f>
        <v>12036.288366619512</v>
      </c>
      <c r="U10" s="4">
        <f ca="1" xml:space="preserve">  Expense!U$13</f>
        <v>12036.288366619512</v>
      </c>
      <c r="V10" s="4">
        <f ca="1" xml:space="preserve">  Expense!V$13</f>
        <v>12578.134279386926</v>
      </c>
      <c r="W10" s="4">
        <f ca="1" xml:space="preserve">  Expense!W$13</f>
        <v>13031.726747827488</v>
      </c>
      <c r="X10" s="4">
        <f ca="1" xml:space="preserve">  Expense!X$13</f>
        <v>13512.291228019592</v>
      </c>
      <c r="Y10" s="4">
        <f ca="1" xml:space="preserve">  Expense!Y$13</f>
        <v>14142.281698728668</v>
      </c>
      <c r="Z10" s="4">
        <f ca="1" xml:space="preserve">  Expense!Z$13</f>
        <v>14681.697089509827</v>
      </c>
      <c r="AA10" s="4">
        <f ca="1" xml:space="preserve">  Expense!AA$13</f>
        <v>15253.187788571864</v>
      </c>
      <c r="AB10" s="4">
        <f ca="1" xml:space="preserve">  Expense!AB$13</f>
        <v>15981.784436819755</v>
      </c>
      <c r="AC10" s="4">
        <f ca="1" xml:space="preserve">  Expense!AC$13</f>
        <v>16623.261057478685</v>
      </c>
      <c r="AD10" s="4">
        <f ca="1" xml:space="preserve">  Expense!AD$13</f>
        <v>17302.881862961141</v>
      </c>
      <c r="AE10" s="4">
        <f ca="1" xml:space="preserve">  Expense!AE$13</f>
        <v>18149.434211052267</v>
      </c>
      <c r="AF10" s="4">
        <f ca="1" xml:space="preserve">  Expense!AF$13</f>
        <v>18912.282772447765</v>
      </c>
      <c r="AG10" s="4">
        <f ca="1" xml:space="preserve">  Expense!AG$13</f>
        <v>19720.492669831383</v>
      </c>
      <c r="AH10" s="4">
        <f ca="1" xml:space="preserve">  Expense!AH$13</f>
        <v>21997.742086597504</v>
      </c>
      <c r="AI10" s="4">
        <f ca="1" xml:space="preserve">  Expense!AI$13</f>
        <v>22904.927023478624</v>
      </c>
      <c r="AJ10" s="4">
        <f ca="1" xml:space="preserve">  Expense!AJ$13</f>
        <v>23866.055983862836</v>
      </c>
      <c r="AK10" s="4">
        <f ca="1" xml:space="preserve">  Expense!AK$13</f>
        <v>25016.617121054718</v>
      </c>
      <c r="AL10" s="4">
        <f ca="1" xml:space="preserve">  Expense!AL$13</f>
        <v>28687.447902617041</v>
      </c>
      <c r="AM10" s="4">
        <f ca="1" xml:space="preserve">  Expense!AM$13</f>
        <v>29830.429300741118</v>
      </c>
      <c r="AN10" s="4">
        <f ca="1" xml:space="preserve">  Expense!AN$13</f>
        <v>31176.869718110982</v>
      </c>
      <c r="AO10" s="4">
        <f ca="1" xml:space="preserve">  Expense!AO$13</f>
        <v>35051.822959428835</v>
      </c>
      <c r="AP10" s="4">
        <f ca="1" xml:space="preserve">  Expense!AP$13</f>
        <v>36411.064570393748</v>
      </c>
      <c r="AQ10" s="4">
        <f ca="1" xml:space="preserve">  Expense!AQ$13</f>
        <v>37990.266867857303</v>
      </c>
      <c r="AR10" s="4">
        <f ca="1" xml:space="preserve">  Expense!AR$13</f>
        <v>39515.963990648306</v>
      </c>
      <c r="AS10" s="4">
        <f ca="1" xml:space="preserve">  Expense!AS$13</f>
        <v>41132.383785415535</v>
      </c>
      <c r="AT10" s="4">
        <f ca="1" xml:space="preserve">  Expense!AT$13</f>
        <v>43367.748714336645</v>
      </c>
      <c r="AU10" s="4">
        <f ca="1" xml:space="preserve">  Expense!AU$13</f>
        <v>45590.351809695392</v>
      </c>
      <c r="AV10" s="4">
        <f ca="1" xml:space="preserve">  Expense!AV$13</f>
        <v>47945.117762636721</v>
      </c>
      <c r="AW10" s="4">
        <f ca="1" xml:space="preserve">  Expense!AW$13</f>
        <v>50585.444344374424</v>
      </c>
      <c r="AX10" s="4">
        <f ca="1" xml:space="preserve">  Expense!AX$13</f>
        <v>53228.579759202134</v>
      </c>
      <c r="AY10" s="4">
        <f ca="1" xml:space="preserve">  Expense!AY$13</f>
        <v>56028.884184606097</v>
      </c>
      <c r="AZ10" s="4">
        <f ca="1" xml:space="preserve">  Expense!AZ$13</f>
        <v>59144.778557883415</v>
      </c>
      <c r="BA10" s="4">
        <f ca="1" xml:space="preserve">  Expense!BA$13</f>
        <v>62288.013999112176</v>
      </c>
      <c r="BB10" s="4">
        <f ca="1" xml:space="preserve">  Expense!BB$13</f>
        <v>65618.155945976192</v>
      </c>
      <c r="BC10" s="4">
        <f ca="1" xml:space="preserve">  Expense!BC$13</f>
        <v>69299.331300165009</v>
      </c>
      <c r="BD10" s="4">
        <f ca="1" xml:space="preserve">  Expense!BD$13</f>
        <v>73037.289251002963</v>
      </c>
      <c r="BE10" s="4">
        <f ca="1" xml:space="preserve">  Expense!BE$13</f>
        <v>76997.517748182683</v>
      </c>
      <c r="BF10" s="4">
        <f ca="1" xml:space="preserve">  Expense!BF$13</f>
        <v>81344.509838727245</v>
      </c>
      <c r="BG10" s="4">
        <f ca="1" xml:space="preserve">  Expense!BG$13</f>
        <v>85789.716029444753</v>
      </c>
      <c r="BH10" s="4">
        <f ca="1" xml:space="preserve">  Expense!BH$13</f>
        <v>90499.247935327396</v>
      </c>
      <c r="BI10" s="4">
        <f ca="1" xml:space="preserve">  Expense!BI$13</f>
        <v>95648.936130736198</v>
      </c>
      <c r="BJ10" s="4">
        <f ca="1" xml:space="preserve">  Expense!BJ$13</f>
        <v>100935.20696039157</v>
      </c>
      <c r="BK10" s="4">
        <f ca="1" xml:space="preserve">  Expense!BK$13</f>
        <v>106535.81581119951</v>
      </c>
      <c r="BL10" s="4">
        <f ca="1" xml:space="preserve">  Expense!BL$13</f>
        <v>112633.45801642664</v>
      </c>
      <c r="BM10" s="4">
        <f ca="1" xml:space="preserve">  Expense!BM$13</f>
        <v>118919.92889888417</v>
      </c>
      <c r="BN10" s="4">
        <f ca="1" xml:space="preserve">  Expense!BN$13</f>
        <v>125580.2127926122</v>
      </c>
      <c r="BO10" s="4">
        <f ca="1" xml:space="preserve">  Expense!BO$13</f>
        <v>132803.35560784835</v>
      </c>
      <c r="BP10" s="4">
        <f ca="1" xml:space="preserve">  Expense!BP$13</f>
        <v>140279.27150952429</v>
      </c>
      <c r="BQ10" s="4">
        <f ca="1" xml:space="preserve">  Expense!BQ$13</f>
        <v>148199.7285038837</v>
      </c>
    </row>
    <row r="11" spans="1:69" outlineLevel="1">
      <c r="E11" s="47" t="s">
        <v>346</v>
      </c>
      <c r="G11" s="47" t="s">
        <v>258</v>
      </c>
      <c r="H11" s="2">
        <f ca="1" xml:space="preserve"> SUM( J11:BQ11 )</f>
        <v>14196493.222747019</v>
      </c>
      <c r="J11" s="2">
        <f t="shared" ref="J11:BQ11" ca="1" si="0" xml:space="preserve">  J9 + J10</f>
        <v>5940</v>
      </c>
      <c r="K11" s="2">
        <f t="shared" ca="1" si="0"/>
        <v>5940</v>
      </c>
      <c r="L11" s="2">
        <f t="shared" ca="1" si="0"/>
        <v>75940</v>
      </c>
      <c r="M11" s="2">
        <f t="shared" ca="1" si="0"/>
        <v>76049.414233242191</v>
      </c>
      <c r="N11" s="2">
        <f t="shared" ca="1" si="0"/>
        <v>78929.414233242191</v>
      </c>
      <c r="O11" s="2">
        <f t="shared" ca="1" si="0"/>
        <v>8929.4142332421943</v>
      </c>
      <c r="P11" s="2">
        <f t="shared" ca="1" si="0"/>
        <v>79041.488794136822</v>
      </c>
      <c r="Q11" s="2">
        <f t="shared" ca="1" si="0"/>
        <v>11921.488794136827</v>
      </c>
      <c r="R11" s="2">
        <f t="shared" ca="1" si="0"/>
        <v>81921.488794136822</v>
      </c>
      <c r="S11" s="2">
        <f t="shared" ca="1" si="0"/>
        <v>12036.288366619512</v>
      </c>
      <c r="T11" s="2">
        <f t="shared" ca="1" si="0"/>
        <v>12036.288366619512</v>
      </c>
      <c r="U11" s="2">
        <f t="shared" ca="1" si="0"/>
        <v>12036.288366619512</v>
      </c>
      <c r="V11" s="2">
        <f t="shared" ca="1" si="0"/>
        <v>12578.134279386926</v>
      </c>
      <c r="W11" s="2">
        <f t="shared" ca="1" si="0"/>
        <v>13031.726747827488</v>
      </c>
      <c r="X11" s="2">
        <f t="shared" ca="1" si="0"/>
        <v>13512.291228019592</v>
      </c>
      <c r="Y11" s="2">
        <f t="shared" ca="1" si="0"/>
        <v>49142.281698728664</v>
      </c>
      <c r="Z11" s="2">
        <f t="shared" ca="1" si="0"/>
        <v>49681.697089509827</v>
      </c>
      <c r="AA11" s="2">
        <f t="shared" ca="1" si="0"/>
        <v>50253.187788571864</v>
      </c>
      <c r="AB11" s="2">
        <f t="shared" ca="1" si="0"/>
        <v>85981.784436819755</v>
      </c>
      <c r="AC11" s="2">
        <f t="shared" ca="1" si="0"/>
        <v>86623.261057478681</v>
      </c>
      <c r="AD11" s="2">
        <f t="shared" ca="1" si="0"/>
        <v>52302.881862961141</v>
      </c>
      <c r="AE11" s="2">
        <f t="shared" ca="1" si="0"/>
        <v>88149.43421105227</v>
      </c>
      <c r="AF11" s="2">
        <f t="shared" ca="1" si="0"/>
        <v>88912.282772447768</v>
      </c>
      <c r="AG11" s="2">
        <f t="shared" ca="1" si="0"/>
        <v>89720.492669831379</v>
      </c>
      <c r="AH11" s="2">
        <f t="shared" ca="1" si="0"/>
        <v>91997.7420865975</v>
      </c>
      <c r="AI11" s="2">
        <f t="shared" ca="1" si="0"/>
        <v>127904.92702347862</v>
      </c>
      <c r="AJ11" s="2">
        <f t="shared" ca="1" si="0"/>
        <v>93866.05598386284</v>
      </c>
      <c r="AK11" s="2">
        <f t="shared" ca="1" si="0"/>
        <v>130016.61712105472</v>
      </c>
      <c r="AL11" s="2">
        <f t="shared" ca="1" si="0"/>
        <v>133687.44790261704</v>
      </c>
      <c r="AM11" s="2">
        <f t="shared" ca="1" si="0"/>
        <v>134830.42930074112</v>
      </c>
      <c r="AN11" s="2">
        <f t="shared" ca="1" si="0"/>
        <v>171176.86971811097</v>
      </c>
      <c r="AO11" s="2">
        <f t="shared" ca="1" si="0"/>
        <v>175051.82295942883</v>
      </c>
      <c r="AP11" s="2">
        <f t="shared" ca="1" si="0"/>
        <v>176411.06457039376</v>
      </c>
      <c r="AQ11" s="2">
        <f t="shared" ca="1" si="0"/>
        <v>212990.26686785731</v>
      </c>
      <c r="AR11" s="2">
        <f t="shared" ca="1" si="0"/>
        <v>179515.96399064831</v>
      </c>
      <c r="AS11" s="2">
        <f t="shared" ca="1" si="0"/>
        <v>216132.38378541553</v>
      </c>
      <c r="AT11" s="2">
        <f t="shared" ca="1" si="0"/>
        <v>253367.74871433666</v>
      </c>
      <c r="AU11" s="2">
        <f t="shared" ca="1" si="0"/>
        <v>220590.35180969539</v>
      </c>
      <c r="AV11" s="2">
        <f t="shared" ca="1" si="0"/>
        <v>257945.11776263671</v>
      </c>
      <c r="AW11" s="2">
        <f t="shared" ca="1" si="0"/>
        <v>260585.44434437441</v>
      </c>
      <c r="AX11" s="2">
        <f t="shared" ca="1" si="0"/>
        <v>298228.57975920214</v>
      </c>
      <c r="AY11" s="2">
        <f t="shared" ca="1" si="0"/>
        <v>301028.88418460608</v>
      </c>
      <c r="AZ11" s="2">
        <f t="shared" ca="1" si="0"/>
        <v>304144.7785578834</v>
      </c>
      <c r="BA11" s="2">
        <f t="shared" ca="1" si="0"/>
        <v>342288.01399911218</v>
      </c>
      <c r="BB11" s="2">
        <f t="shared" ca="1" si="0"/>
        <v>345618.15594597621</v>
      </c>
      <c r="BC11" s="2">
        <f t="shared" ca="1" si="0"/>
        <v>384299.33130016504</v>
      </c>
      <c r="BD11" s="2">
        <f t="shared" ca="1" si="0"/>
        <v>388037.28925100295</v>
      </c>
      <c r="BE11" s="2">
        <f t="shared" ca="1" si="0"/>
        <v>426997.5177481827</v>
      </c>
      <c r="BF11" s="2">
        <f t="shared" ca="1" si="0"/>
        <v>431344.50983872724</v>
      </c>
      <c r="BG11" s="2">
        <f t="shared" ca="1" si="0"/>
        <v>470789.71602944477</v>
      </c>
      <c r="BH11" s="2">
        <f t="shared" ca="1" si="0"/>
        <v>510499.24793532741</v>
      </c>
      <c r="BI11" s="2">
        <f t="shared" ca="1" si="0"/>
        <v>515648.9361307362</v>
      </c>
      <c r="BJ11" s="2">
        <f t="shared" ca="1" si="0"/>
        <v>555935.2069603916</v>
      </c>
      <c r="BK11" s="2">
        <f t="shared" ca="1" si="0"/>
        <v>596535.81581119949</v>
      </c>
      <c r="BL11" s="2">
        <f t="shared" ca="1" si="0"/>
        <v>637633.45801642665</v>
      </c>
      <c r="BM11" s="2">
        <f t="shared" ca="1" si="0"/>
        <v>643919.92889888422</v>
      </c>
      <c r="BN11" s="2">
        <f t="shared" ca="1" si="0"/>
        <v>720580.21279261215</v>
      </c>
      <c r="BO11" s="2">
        <f t="shared" ca="1" si="0"/>
        <v>727803.35560784838</v>
      </c>
      <c r="BP11" s="2">
        <f t="shared" ca="1" si="0"/>
        <v>805279.27150952432</v>
      </c>
      <c r="BQ11" s="2">
        <f t="shared" ca="1" si="0"/>
        <v>813199.7285038837</v>
      </c>
    </row>
    <row r="14" spans="1:69">
      <c r="B14" s="25" t="s">
        <v>266</v>
      </c>
    </row>
    <row r="15" spans="1:69" outlineLevel="1">
      <c r="A15" s="18"/>
      <c r="B15" s="18"/>
      <c r="C15" s="28"/>
      <c r="D15" s="27"/>
      <c r="E15" s="42" t="str">
        <f xml:space="preserve">  InpC!E$85</f>
        <v>VAT rate</v>
      </c>
      <c r="F15" s="42">
        <f xml:space="preserve">  InpC!F$85</f>
        <v>0.2</v>
      </c>
      <c r="G15" s="42" t="str">
        <f xml:space="preserve">  InpC!G$85</f>
        <v>%</v>
      </c>
      <c r="M15" s="57"/>
    </row>
    <row r="16" spans="1:69" outlineLevel="1">
      <c r="A16" s="18"/>
      <c r="B16" s="18"/>
      <c r="C16" s="28"/>
      <c r="D16" s="27"/>
      <c r="E16" s="4" t="str">
        <f xml:space="preserve">  Income!E$12</f>
        <v>New Deferred Income from customer orders</v>
      </c>
      <c r="F16" s="4">
        <f xml:space="preserve">  Income!F$12</f>
        <v>0</v>
      </c>
      <c r="G16" s="4" t="str">
        <f xml:space="preserve">  Income!G$12</f>
        <v>GBP</v>
      </c>
      <c r="H16" s="4">
        <f ca="1" xml:space="preserve">  Income!H$12</f>
        <v>223488000</v>
      </c>
      <c r="I16" s="4">
        <f xml:space="preserve">  Income!I$12</f>
        <v>0</v>
      </c>
      <c r="J16" s="4">
        <f ca="1" xml:space="preserve">  Income!J$12</f>
        <v>0</v>
      </c>
      <c r="K16" s="4">
        <f ca="1" xml:space="preserve">  Income!K$12</f>
        <v>144000</v>
      </c>
      <c r="L16" s="4">
        <f ca="1" xml:space="preserve">  Income!L$12</f>
        <v>144000</v>
      </c>
      <c r="M16" s="4">
        <f ca="1" xml:space="preserve">  Income!M$12</f>
        <v>144000</v>
      </c>
      <c r="N16" s="4">
        <f ca="1" xml:space="preserve">  Income!N$12</f>
        <v>144000</v>
      </c>
      <c r="O16" s="4">
        <f ca="1" xml:space="preserve">  Income!O$12</f>
        <v>288000</v>
      </c>
      <c r="P16" s="4">
        <f ca="1" xml:space="preserve">  Income!P$12</f>
        <v>576000</v>
      </c>
      <c r="Q16" s="4">
        <f ca="1" xml:space="preserve">  Income!Q$12</f>
        <v>432000</v>
      </c>
      <c r="R16" s="4">
        <f ca="1" xml:space="preserve">  Income!R$12</f>
        <v>432000</v>
      </c>
      <c r="S16" s="4">
        <f ca="1" xml:space="preserve">  Income!S$12</f>
        <v>0</v>
      </c>
      <c r="T16" s="4">
        <f ca="1" xml:space="preserve">  Income!T$12</f>
        <v>1440000</v>
      </c>
      <c r="U16" s="4">
        <f ca="1" xml:space="preserve">  Income!U$12</f>
        <v>0</v>
      </c>
      <c r="V16" s="4">
        <f ca="1" xml:space="preserve">  Income!V$12</f>
        <v>1440000</v>
      </c>
      <c r="W16" s="4">
        <f ca="1" xml:space="preserve">  Income!W$12</f>
        <v>1194813.4279386925</v>
      </c>
      <c r="X16" s="4">
        <f ca="1" xml:space="preserve">  Income!X$12</f>
        <v>533186.5720613075</v>
      </c>
      <c r="Y16" s="4">
        <f ca="1" xml:space="preserve">  Income!Y$12</f>
        <v>1419215.2255233999</v>
      </c>
      <c r="Z16" s="4">
        <f ca="1" xml:space="preserve">  Income!Z$12</f>
        <v>308784.77447660017</v>
      </c>
      <c r="AA16" s="4">
        <f ca="1" xml:space="preserve">  Income!AA$12</f>
        <v>288000</v>
      </c>
      <c r="AB16" s="4">
        <f ca="1" xml:space="preserve">  Income!AB$12</f>
        <v>576000</v>
      </c>
      <c r="AC16" s="4">
        <f ca="1" xml:space="preserve">  Income!AC$12</f>
        <v>432000</v>
      </c>
      <c r="AD16" s="4">
        <f ca="1" xml:space="preserve">  Income!AD$12</f>
        <v>432000</v>
      </c>
      <c r="AE16" s="4">
        <f ca="1" xml:space="preserve">  Income!AE$12</f>
        <v>0</v>
      </c>
      <c r="AF16" s="4">
        <f ca="1" xml:space="preserve">  Income!AF$12</f>
        <v>2160000</v>
      </c>
      <c r="AG16" s="4">
        <f ca="1" xml:space="preserve">  Income!AG$12</f>
        <v>720000</v>
      </c>
      <c r="AH16" s="4">
        <f ca="1" xml:space="preserve">  Income!AH$12</f>
        <v>2160000</v>
      </c>
      <c r="AI16" s="4">
        <f ca="1" xml:space="preserve">  Income!AI$12</f>
        <v>2490813.4279386923</v>
      </c>
      <c r="AJ16" s="4">
        <f ca="1" xml:space="preserve">  Income!AJ$12</f>
        <v>1829186.5720613075</v>
      </c>
      <c r="AK16" s="4">
        <f ca="1" xml:space="preserve">  Income!AK$12</f>
        <v>1995215.2255233999</v>
      </c>
      <c r="AL16" s="4">
        <f ca="1" xml:space="preserve">  Income!AL$12</f>
        <v>1604784.7744766001</v>
      </c>
      <c r="AM16" s="4">
        <f ca="1" xml:space="preserve">  Income!AM$12</f>
        <v>1440000</v>
      </c>
      <c r="AN16" s="4">
        <f ca="1" xml:space="preserve">  Income!AN$12</f>
        <v>1440000</v>
      </c>
      <c r="AO16" s="4">
        <f ca="1" xml:space="preserve">  Income!AO$12</f>
        <v>1440000</v>
      </c>
      <c r="AP16" s="4">
        <f ca="1" xml:space="preserve">  Income!AP$12</f>
        <v>2160000</v>
      </c>
      <c r="AQ16" s="4">
        <f ca="1" xml:space="preserve">  Income!AQ$12</f>
        <v>1440000</v>
      </c>
      <c r="AR16" s="4">
        <f ca="1" xml:space="preserve">  Income!AR$12</f>
        <v>2880000</v>
      </c>
      <c r="AS16" s="4">
        <f ca="1" xml:space="preserve">  Income!AS$12</f>
        <v>2880000</v>
      </c>
      <c r="AT16" s="4">
        <f ca="1" xml:space="preserve">  Income!AT$12</f>
        <v>2880000</v>
      </c>
      <c r="AU16" s="4">
        <f ca="1" xml:space="preserve">  Income!AU$12</f>
        <v>4320000</v>
      </c>
      <c r="AV16" s="4">
        <f ca="1" xml:space="preserve">  Income!AV$12</f>
        <v>4320000</v>
      </c>
      <c r="AW16" s="4">
        <f ca="1" xml:space="preserve">  Income!AW$12</f>
        <v>3600000</v>
      </c>
      <c r="AX16" s="4">
        <f ca="1" xml:space="preserve">  Income!AX$12</f>
        <v>5040000</v>
      </c>
      <c r="AY16" s="4">
        <f ca="1" xml:space="preserve">  Income!AY$12</f>
        <v>4320000</v>
      </c>
      <c r="AZ16" s="4">
        <f ca="1" xml:space="preserve">  Income!AZ$12</f>
        <v>5040000</v>
      </c>
      <c r="BA16" s="4">
        <f ca="1" xml:space="preserve">  Income!BA$12</f>
        <v>5760000</v>
      </c>
      <c r="BB16" s="4">
        <f ca="1" xml:space="preserve">  Income!BB$12</f>
        <v>5760000</v>
      </c>
      <c r="BC16" s="4">
        <f ca="1" xml:space="preserve">  Income!BC$12</f>
        <v>5760000</v>
      </c>
      <c r="BD16" s="4">
        <f ca="1" xml:space="preserve">  Income!BD$12</f>
        <v>6480000.0000000009</v>
      </c>
      <c r="BE16" s="4">
        <f ca="1" xml:space="preserve">  Income!BE$12</f>
        <v>7200000</v>
      </c>
      <c r="BF16" s="4">
        <f ca="1" xml:space="preserve">  Income!BF$12</f>
        <v>7200000</v>
      </c>
      <c r="BG16" s="4">
        <f ca="1" xml:space="preserve">  Income!BG$12</f>
        <v>7920000</v>
      </c>
      <c r="BH16" s="4">
        <f ca="1" xml:space="preserve">  Income!BH$12</f>
        <v>8640000</v>
      </c>
      <c r="BI16" s="4">
        <f ca="1" xml:space="preserve">  Income!BI$12</f>
        <v>8640000</v>
      </c>
      <c r="BJ16" s="4">
        <f ca="1" xml:space="preserve">  Income!BJ$12</f>
        <v>10080000</v>
      </c>
      <c r="BK16" s="4">
        <f ca="1" xml:space="preserve">  Income!BK$12</f>
        <v>9360000</v>
      </c>
      <c r="BL16" s="4">
        <f ca="1" xml:space="preserve">  Income!BL$12</f>
        <v>10799999.999999998</v>
      </c>
      <c r="BM16" s="4">
        <f ca="1" xml:space="preserve">  Income!BM$12</f>
        <v>11520000.000000002</v>
      </c>
      <c r="BN16" s="4">
        <f ca="1" xml:space="preserve">  Income!BN$12</f>
        <v>11519999.999999996</v>
      </c>
      <c r="BO16" s="4">
        <f ca="1" xml:space="preserve">  Income!BO$12</f>
        <v>12960000</v>
      </c>
      <c r="BP16" s="4">
        <f ca="1" xml:space="preserve">  Income!BP$12</f>
        <v>12960000</v>
      </c>
      <c r="BQ16" s="4">
        <f ca="1" xml:space="preserve">  Income!BQ$12</f>
        <v>14400000</v>
      </c>
    </row>
    <row r="17" spans="1:69" outlineLevel="1">
      <c r="A17" s="34"/>
      <c r="B17" s="34"/>
      <c r="C17" s="64"/>
      <c r="D17" s="65"/>
      <c r="E17" s="21" t="s">
        <v>266</v>
      </c>
      <c r="F17" s="21"/>
      <c r="G17" s="21" t="s">
        <v>258</v>
      </c>
      <c r="H17" s="3">
        <f ca="1" xml:space="preserve"> SUM( J17:BQ17 )</f>
        <v>44697600</v>
      </c>
      <c r="I17" s="21"/>
      <c r="J17" s="3">
        <f t="shared" ref="J17:BQ17" ca="1" si="1" xml:space="preserve">  J16 * $F15</f>
        <v>0</v>
      </c>
      <c r="K17" s="3">
        <f t="shared" ca="1" si="1"/>
        <v>28800</v>
      </c>
      <c r="L17" s="3">
        <f t="shared" ca="1" si="1"/>
        <v>28800</v>
      </c>
      <c r="M17" s="3">
        <f t="shared" ca="1" si="1"/>
        <v>28800</v>
      </c>
      <c r="N17" s="3">
        <f t="shared" ca="1" si="1"/>
        <v>28800</v>
      </c>
      <c r="O17" s="3">
        <f t="shared" ca="1" si="1"/>
        <v>57600</v>
      </c>
      <c r="P17" s="3">
        <f t="shared" ca="1" si="1"/>
        <v>115200</v>
      </c>
      <c r="Q17" s="3">
        <f t="shared" ca="1" si="1"/>
        <v>86400</v>
      </c>
      <c r="R17" s="3">
        <f t="shared" ca="1" si="1"/>
        <v>86400</v>
      </c>
      <c r="S17" s="3">
        <f t="shared" ca="1" si="1"/>
        <v>0</v>
      </c>
      <c r="T17" s="3">
        <f t="shared" ca="1" si="1"/>
        <v>288000</v>
      </c>
      <c r="U17" s="3">
        <f t="shared" ca="1" si="1"/>
        <v>0</v>
      </c>
      <c r="V17" s="3">
        <f t="shared" ca="1" si="1"/>
        <v>288000</v>
      </c>
      <c r="W17" s="3">
        <f t="shared" ca="1" si="1"/>
        <v>238962.68558773852</v>
      </c>
      <c r="X17" s="3">
        <f t="shared" ca="1" si="1"/>
        <v>106637.3144122615</v>
      </c>
      <c r="Y17" s="3">
        <f t="shared" ca="1" si="1"/>
        <v>283843.04510468</v>
      </c>
      <c r="Z17" s="3">
        <f t="shared" ca="1" si="1"/>
        <v>61756.954895320036</v>
      </c>
      <c r="AA17" s="3">
        <f t="shared" ca="1" si="1"/>
        <v>57600</v>
      </c>
      <c r="AB17" s="3">
        <f t="shared" ca="1" si="1"/>
        <v>115200</v>
      </c>
      <c r="AC17" s="3">
        <f t="shared" ca="1" si="1"/>
        <v>86400</v>
      </c>
      <c r="AD17" s="3">
        <f t="shared" ca="1" si="1"/>
        <v>86400</v>
      </c>
      <c r="AE17" s="3">
        <f t="shared" ca="1" si="1"/>
        <v>0</v>
      </c>
      <c r="AF17" s="3">
        <f t="shared" ca="1" si="1"/>
        <v>432000</v>
      </c>
      <c r="AG17" s="3">
        <f t="shared" ca="1" si="1"/>
        <v>144000</v>
      </c>
      <c r="AH17" s="3">
        <f t="shared" ca="1" si="1"/>
        <v>432000</v>
      </c>
      <c r="AI17" s="3">
        <f t="shared" ca="1" si="1"/>
        <v>498162.68558773847</v>
      </c>
      <c r="AJ17" s="3">
        <f t="shared" ca="1" si="1"/>
        <v>365837.31441226153</v>
      </c>
      <c r="AK17" s="3">
        <f t="shared" ca="1" si="1"/>
        <v>399043.04510468</v>
      </c>
      <c r="AL17" s="3">
        <f t="shared" ca="1" si="1"/>
        <v>320956.95489532006</v>
      </c>
      <c r="AM17" s="3">
        <f t="shared" ca="1" si="1"/>
        <v>288000</v>
      </c>
      <c r="AN17" s="3">
        <f t="shared" ca="1" si="1"/>
        <v>288000</v>
      </c>
      <c r="AO17" s="3">
        <f t="shared" ca="1" si="1"/>
        <v>288000</v>
      </c>
      <c r="AP17" s="3">
        <f t="shared" ca="1" si="1"/>
        <v>432000</v>
      </c>
      <c r="AQ17" s="3">
        <f t="shared" ca="1" si="1"/>
        <v>288000</v>
      </c>
      <c r="AR17" s="3">
        <f t="shared" ca="1" si="1"/>
        <v>576000</v>
      </c>
      <c r="AS17" s="3">
        <f t="shared" ca="1" si="1"/>
        <v>576000</v>
      </c>
      <c r="AT17" s="3">
        <f t="shared" ca="1" si="1"/>
        <v>576000</v>
      </c>
      <c r="AU17" s="3">
        <f t="shared" ca="1" si="1"/>
        <v>864000</v>
      </c>
      <c r="AV17" s="3">
        <f t="shared" ca="1" si="1"/>
        <v>864000</v>
      </c>
      <c r="AW17" s="3">
        <f t="shared" ca="1" si="1"/>
        <v>720000</v>
      </c>
      <c r="AX17" s="3">
        <f t="shared" ca="1" si="1"/>
        <v>1008000</v>
      </c>
      <c r="AY17" s="3">
        <f t="shared" ca="1" si="1"/>
        <v>864000</v>
      </c>
      <c r="AZ17" s="3">
        <f t="shared" ca="1" si="1"/>
        <v>1008000</v>
      </c>
      <c r="BA17" s="3">
        <f t="shared" ca="1" si="1"/>
        <v>1152000</v>
      </c>
      <c r="BB17" s="3">
        <f t="shared" ca="1" si="1"/>
        <v>1152000</v>
      </c>
      <c r="BC17" s="3">
        <f t="shared" ca="1" si="1"/>
        <v>1152000</v>
      </c>
      <c r="BD17" s="3">
        <f t="shared" ca="1" si="1"/>
        <v>1296000.0000000002</v>
      </c>
      <c r="BE17" s="3">
        <f t="shared" ca="1" si="1"/>
        <v>1440000</v>
      </c>
      <c r="BF17" s="3">
        <f t="shared" ca="1" si="1"/>
        <v>1440000</v>
      </c>
      <c r="BG17" s="3">
        <f t="shared" ca="1" si="1"/>
        <v>1584000</v>
      </c>
      <c r="BH17" s="3">
        <f t="shared" ca="1" si="1"/>
        <v>1728000</v>
      </c>
      <c r="BI17" s="3">
        <f t="shared" ca="1" si="1"/>
        <v>1728000</v>
      </c>
      <c r="BJ17" s="3">
        <f t="shared" ca="1" si="1"/>
        <v>2016000</v>
      </c>
      <c r="BK17" s="3">
        <f t="shared" ca="1" si="1"/>
        <v>1872000</v>
      </c>
      <c r="BL17" s="3">
        <f t="shared" ca="1" si="1"/>
        <v>2159999.9999999995</v>
      </c>
      <c r="BM17" s="3">
        <f t="shared" ca="1" si="1"/>
        <v>2304000.0000000005</v>
      </c>
      <c r="BN17" s="3">
        <f t="shared" ca="1" si="1"/>
        <v>2303999.9999999995</v>
      </c>
      <c r="BO17" s="3">
        <f t="shared" ca="1" si="1"/>
        <v>2592000</v>
      </c>
      <c r="BP17" s="3">
        <f t="shared" ca="1" si="1"/>
        <v>2592000</v>
      </c>
      <c r="BQ17" s="3">
        <f t="shared" ca="1" si="1"/>
        <v>2880000</v>
      </c>
    </row>
    <row r="20" spans="1:69">
      <c r="B20" s="25" t="s">
        <v>62</v>
      </c>
    </row>
    <row r="21" spans="1:69" outlineLevel="1">
      <c r="E21" s="2" t="str">
        <f t="shared" ref="E21:BQ21" si="2" xml:space="preserve">  E$17</f>
        <v>Output VAT</v>
      </c>
      <c r="F21" s="2">
        <f t="shared" si="2"/>
        <v>0</v>
      </c>
      <c r="G21" s="2" t="str">
        <f t="shared" si="2"/>
        <v>GBP</v>
      </c>
      <c r="H21" s="2">
        <f t="shared" ca="1" si="2"/>
        <v>44697600</v>
      </c>
      <c r="I21" s="2">
        <f t="shared" si="2"/>
        <v>0</v>
      </c>
      <c r="J21" s="2">
        <f t="shared" ca="1" si="2"/>
        <v>0</v>
      </c>
      <c r="K21" s="2">
        <f t="shared" ca="1" si="2"/>
        <v>28800</v>
      </c>
      <c r="L21" s="2">
        <f t="shared" ca="1" si="2"/>
        <v>28800</v>
      </c>
      <c r="M21" s="2">
        <f t="shared" ca="1" si="2"/>
        <v>28800</v>
      </c>
      <c r="N21" s="2">
        <f t="shared" ca="1" si="2"/>
        <v>28800</v>
      </c>
      <c r="O21" s="2">
        <f t="shared" ca="1" si="2"/>
        <v>57600</v>
      </c>
      <c r="P21" s="2">
        <f t="shared" ca="1" si="2"/>
        <v>115200</v>
      </c>
      <c r="Q21" s="2">
        <f t="shared" ca="1" si="2"/>
        <v>86400</v>
      </c>
      <c r="R21" s="2">
        <f t="shared" ca="1" si="2"/>
        <v>86400</v>
      </c>
      <c r="S21" s="2">
        <f t="shared" ca="1" si="2"/>
        <v>0</v>
      </c>
      <c r="T21" s="2">
        <f t="shared" ca="1" si="2"/>
        <v>288000</v>
      </c>
      <c r="U21" s="2">
        <f t="shared" ca="1" si="2"/>
        <v>0</v>
      </c>
      <c r="V21" s="2">
        <f t="shared" ca="1" si="2"/>
        <v>288000</v>
      </c>
      <c r="W21" s="2">
        <f t="shared" ca="1" si="2"/>
        <v>238962.68558773852</v>
      </c>
      <c r="X21" s="2">
        <f t="shared" ca="1" si="2"/>
        <v>106637.3144122615</v>
      </c>
      <c r="Y21" s="2">
        <f t="shared" ca="1" si="2"/>
        <v>283843.04510468</v>
      </c>
      <c r="Z21" s="2">
        <f t="shared" ca="1" si="2"/>
        <v>61756.954895320036</v>
      </c>
      <c r="AA21" s="2">
        <f t="shared" ca="1" si="2"/>
        <v>57600</v>
      </c>
      <c r="AB21" s="2">
        <f t="shared" ca="1" si="2"/>
        <v>115200</v>
      </c>
      <c r="AC21" s="2">
        <f t="shared" ca="1" si="2"/>
        <v>86400</v>
      </c>
      <c r="AD21" s="2">
        <f t="shared" ca="1" si="2"/>
        <v>86400</v>
      </c>
      <c r="AE21" s="2">
        <f t="shared" ca="1" si="2"/>
        <v>0</v>
      </c>
      <c r="AF21" s="2">
        <f t="shared" ca="1" si="2"/>
        <v>432000</v>
      </c>
      <c r="AG21" s="2">
        <f t="shared" ca="1" si="2"/>
        <v>144000</v>
      </c>
      <c r="AH21" s="2">
        <f t="shared" ca="1" si="2"/>
        <v>432000</v>
      </c>
      <c r="AI21" s="2">
        <f t="shared" ca="1" si="2"/>
        <v>498162.68558773847</v>
      </c>
      <c r="AJ21" s="2">
        <f t="shared" ca="1" si="2"/>
        <v>365837.31441226153</v>
      </c>
      <c r="AK21" s="2">
        <f t="shared" ca="1" si="2"/>
        <v>399043.04510468</v>
      </c>
      <c r="AL21" s="2">
        <f t="shared" ca="1" si="2"/>
        <v>320956.95489532006</v>
      </c>
      <c r="AM21" s="2">
        <f t="shared" ca="1" si="2"/>
        <v>288000</v>
      </c>
      <c r="AN21" s="2">
        <f t="shared" ca="1" si="2"/>
        <v>288000</v>
      </c>
      <c r="AO21" s="2">
        <f t="shared" ca="1" si="2"/>
        <v>288000</v>
      </c>
      <c r="AP21" s="2">
        <f t="shared" ca="1" si="2"/>
        <v>432000</v>
      </c>
      <c r="AQ21" s="2">
        <f t="shared" ca="1" si="2"/>
        <v>288000</v>
      </c>
      <c r="AR21" s="2">
        <f t="shared" ca="1" si="2"/>
        <v>576000</v>
      </c>
      <c r="AS21" s="2">
        <f t="shared" ca="1" si="2"/>
        <v>576000</v>
      </c>
      <c r="AT21" s="2">
        <f t="shared" ca="1" si="2"/>
        <v>576000</v>
      </c>
      <c r="AU21" s="2">
        <f t="shared" ca="1" si="2"/>
        <v>864000</v>
      </c>
      <c r="AV21" s="2">
        <f t="shared" ca="1" si="2"/>
        <v>864000</v>
      </c>
      <c r="AW21" s="2">
        <f t="shared" ca="1" si="2"/>
        <v>720000</v>
      </c>
      <c r="AX21" s="2">
        <f t="shared" ca="1" si="2"/>
        <v>1008000</v>
      </c>
      <c r="AY21" s="2">
        <f t="shared" ca="1" si="2"/>
        <v>864000</v>
      </c>
      <c r="AZ21" s="2">
        <f t="shared" ca="1" si="2"/>
        <v>1008000</v>
      </c>
      <c r="BA21" s="2">
        <f t="shared" ca="1" si="2"/>
        <v>1152000</v>
      </c>
      <c r="BB21" s="2">
        <f t="shared" ca="1" si="2"/>
        <v>1152000</v>
      </c>
      <c r="BC21" s="2">
        <f t="shared" ca="1" si="2"/>
        <v>1152000</v>
      </c>
      <c r="BD21" s="2">
        <f t="shared" ca="1" si="2"/>
        <v>1296000.0000000002</v>
      </c>
      <c r="BE21" s="2">
        <f t="shared" ca="1" si="2"/>
        <v>1440000</v>
      </c>
      <c r="BF21" s="2">
        <f t="shared" ca="1" si="2"/>
        <v>1440000</v>
      </c>
      <c r="BG21" s="2">
        <f t="shared" ca="1" si="2"/>
        <v>1584000</v>
      </c>
      <c r="BH21" s="2">
        <f t="shared" ca="1" si="2"/>
        <v>1728000</v>
      </c>
      <c r="BI21" s="2">
        <f t="shared" ca="1" si="2"/>
        <v>1728000</v>
      </c>
      <c r="BJ21" s="2">
        <f t="shared" ca="1" si="2"/>
        <v>2016000</v>
      </c>
      <c r="BK21" s="2">
        <f t="shared" ca="1" si="2"/>
        <v>1872000</v>
      </c>
      <c r="BL21" s="2">
        <f t="shared" ca="1" si="2"/>
        <v>2159999.9999999995</v>
      </c>
      <c r="BM21" s="2">
        <f t="shared" ca="1" si="2"/>
        <v>2304000.0000000005</v>
      </c>
      <c r="BN21" s="2">
        <f t="shared" ca="1" si="2"/>
        <v>2303999.9999999995</v>
      </c>
      <c r="BO21" s="2">
        <f t="shared" ca="1" si="2"/>
        <v>2592000</v>
      </c>
      <c r="BP21" s="2">
        <f t="shared" ca="1" si="2"/>
        <v>2592000</v>
      </c>
      <c r="BQ21" s="2">
        <f t="shared" ca="1" si="2"/>
        <v>2880000</v>
      </c>
    </row>
    <row r="22" spans="1:69" outlineLevel="1">
      <c r="E22" s="2" t="str">
        <f t="shared" ref="E22:BQ22" si="3" xml:space="preserve">  E$11</f>
        <v>Input VAT</v>
      </c>
      <c r="F22" s="2">
        <f t="shared" si="3"/>
        <v>0</v>
      </c>
      <c r="G22" s="2" t="str">
        <f t="shared" si="3"/>
        <v>GBP</v>
      </c>
      <c r="H22" s="2">
        <f t="shared" ca="1" si="3"/>
        <v>14196493.222747019</v>
      </c>
      <c r="I22" s="2">
        <f t="shared" si="3"/>
        <v>0</v>
      </c>
      <c r="J22" s="2">
        <f t="shared" ca="1" si="3"/>
        <v>5940</v>
      </c>
      <c r="K22" s="2">
        <f t="shared" ca="1" si="3"/>
        <v>5940</v>
      </c>
      <c r="L22" s="2">
        <f t="shared" ca="1" si="3"/>
        <v>75940</v>
      </c>
      <c r="M22" s="2">
        <f t="shared" ca="1" si="3"/>
        <v>76049.414233242191</v>
      </c>
      <c r="N22" s="2">
        <f t="shared" ca="1" si="3"/>
        <v>78929.414233242191</v>
      </c>
      <c r="O22" s="2">
        <f t="shared" ca="1" si="3"/>
        <v>8929.4142332421943</v>
      </c>
      <c r="P22" s="2">
        <f t="shared" ca="1" si="3"/>
        <v>79041.488794136822</v>
      </c>
      <c r="Q22" s="2">
        <f t="shared" ca="1" si="3"/>
        <v>11921.488794136827</v>
      </c>
      <c r="R22" s="2">
        <f t="shared" ca="1" si="3"/>
        <v>81921.488794136822</v>
      </c>
      <c r="S22" s="2">
        <f t="shared" ca="1" si="3"/>
        <v>12036.288366619512</v>
      </c>
      <c r="T22" s="2">
        <f t="shared" ca="1" si="3"/>
        <v>12036.288366619512</v>
      </c>
      <c r="U22" s="2">
        <f t="shared" ca="1" si="3"/>
        <v>12036.288366619512</v>
      </c>
      <c r="V22" s="2">
        <f t="shared" ca="1" si="3"/>
        <v>12578.134279386926</v>
      </c>
      <c r="W22" s="2">
        <f t="shared" ca="1" si="3"/>
        <v>13031.726747827488</v>
      </c>
      <c r="X22" s="2">
        <f t="shared" ca="1" si="3"/>
        <v>13512.291228019592</v>
      </c>
      <c r="Y22" s="2">
        <f t="shared" ca="1" si="3"/>
        <v>49142.281698728664</v>
      </c>
      <c r="Z22" s="2">
        <f t="shared" ca="1" si="3"/>
        <v>49681.697089509827</v>
      </c>
      <c r="AA22" s="2">
        <f t="shared" ca="1" si="3"/>
        <v>50253.187788571864</v>
      </c>
      <c r="AB22" s="2">
        <f t="shared" ca="1" si="3"/>
        <v>85981.784436819755</v>
      </c>
      <c r="AC22" s="2">
        <f t="shared" ca="1" si="3"/>
        <v>86623.261057478681</v>
      </c>
      <c r="AD22" s="2">
        <f t="shared" ca="1" si="3"/>
        <v>52302.881862961141</v>
      </c>
      <c r="AE22" s="2">
        <f t="shared" ca="1" si="3"/>
        <v>88149.43421105227</v>
      </c>
      <c r="AF22" s="2">
        <f t="shared" ca="1" si="3"/>
        <v>88912.282772447768</v>
      </c>
      <c r="AG22" s="2">
        <f t="shared" ca="1" si="3"/>
        <v>89720.492669831379</v>
      </c>
      <c r="AH22" s="2">
        <f t="shared" ca="1" si="3"/>
        <v>91997.7420865975</v>
      </c>
      <c r="AI22" s="2">
        <f t="shared" ca="1" si="3"/>
        <v>127904.92702347862</v>
      </c>
      <c r="AJ22" s="2">
        <f t="shared" ca="1" si="3"/>
        <v>93866.05598386284</v>
      </c>
      <c r="AK22" s="2">
        <f t="shared" ca="1" si="3"/>
        <v>130016.61712105472</v>
      </c>
      <c r="AL22" s="2">
        <f t="shared" ca="1" si="3"/>
        <v>133687.44790261704</v>
      </c>
      <c r="AM22" s="2">
        <f t="shared" ca="1" si="3"/>
        <v>134830.42930074112</v>
      </c>
      <c r="AN22" s="2">
        <f t="shared" ca="1" si="3"/>
        <v>171176.86971811097</v>
      </c>
      <c r="AO22" s="2">
        <f t="shared" ca="1" si="3"/>
        <v>175051.82295942883</v>
      </c>
      <c r="AP22" s="2">
        <f t="shared" ca="1" si="3"/>
        <v>176411.06457039376</v>
      </c>
      <c r="AQ22" s="2">
        <f t="shared" ca="1" si="3"/>
        <v>212990.26686785731</v>
      </c>
      <c r="AR22" s="2">
        <f t="shared" ca="1" si="3"/>
        <v>179515.96399064831</v>
      </c>
      <c r="AS22" s="2">
        <f t="shared" ca="1" si="3"/>
        <v>216132.38378541553</v>
      </c>
      <c r="AT22" s="2">
        <f t="shared" ca="1" si="3"/>
        <v>253367.74871433666</v>
      </c>
      <c r="AU22" s="2">
        <f t="shared" ca="1" si="3"/>
        <v>220590.35180969539</v>
      </c>
      <c r="AV22" s="2">
        <f t="shared" ca="1" si="3"/>
        <v>257945.11776263671</v>
      </c>
      <c r="AW22" s="2">
        <f t="shared" ca="1" si="3"/>
        <v>260585.44434437441</v>
      </c>
      <c r="AX22" s="2">
        <f t="shared" ca="1" si="3"/>
        <v>298228.57975920214</v>
      </c>
      <c r="AY22" s="2">
        <f t="shared" ca="1" si="3"/>
        <v>301028.88418460608</v>
      </c>
      <c r="AZ22" s="2">
        <f t="shared" ca="1" si="3"/>
        <v>304144.7785578834</v>
      </c>
      <c r="BA22" s="2">
        <f t="shared" ca="1" si="3"/>
        <v>342288.01399911218</v>
      </c>
      <c r="BB22" s="2">
        <f t="shared" ca="1" si="3"/>
        <v>345618.15594597621</v>
      </c>
      <c r="BC22" s="2">
        <f t="shared" ca="1" si="3"/>
        <v>384299.33130016504</v>
      </c>
      <c r="BD22" s="2">
        <f t="shared" ca="1" si="3"/>
        <v>388037.28925100295</v>
      </c>
      <c r="BE22" s="2">
        <f t="shared" ca="1" si="3"/>
        <v>426997.5177481827</v>
      </c>
      <c r="BF22" s="2">
        <f t="shared" ca="1" si="3"/>
        <v>431344.50983872724</v>
      </c>
      <c r="BG22" s="2">
        <f t="shared" ca="1" si="3"/>
        <v>470789.71602944477</v>
      </c>
      <c r="BH22" s="2">
        <f t="shared" ca="1" si="3"/>
        <v>510499.24793532741</v>
      </c>
      <c r="BI22" s="2">
        <f t="shared" ca="1" si="3"/>
        <v>515648.9361307362</v>
      </c>
      <c r="BJ22" s="2">
        <f t="shared" ca="1" si="3"/>
        <v>555935.2069603916</v>
      </c>
      <c r="BK22" s="2">
        <f t="shared" ca="1" si="3"/>
        <v>596535.81581119949</v>
      </c>
      <c r="BL22" s="2">
        <f t="shared" ca="1" si="3"/>
        <v>637633.45801642665</v>
      </c>
      <c r="BM22" s="2">
        <f t="shared" ca="1" si="3"/>
        <v>643919.92889888422</v>
      </c>
      <c r="BN22" s="2">
        <f t="shared" ca="1" si="3"/>
        <v>720580.21279261215</v>
      </c>
      <c r="BO22" s="2">
        <f t="shared" ca="1" si="3"/>
        <v>727803.35560784838</v>
      </c>
      <c r="BP22" s="2">
        <f t="shared" ca="1" si="3"/>
        <v>805279.27150952432</v>
      </c>
      <c r="BQ22" s="2">
        <f t="shared" ca="1" si="3"/>
        <v>813199.7285038837</v>
      </c>
    </row>
    <row r="23" spans="1:69" outlineLevel="1">
      <c r="E23" s="47" t="s">
        <v>62</v>
      </c>
      <c r="G23" s="47" t="s">
        <v>258</v>
      </c>
      <c r="H23" s="2">
        <f ca="1" xml:space="preserve"> SUM( J23:BQ23 )</f>
        <v>30501106.777252983</v>
      </c>
      <c r="J23" s="2">
        <f t="shared" ref="J23:BQ23" ca="1" si="4" xml:space="preserve">  J21 - J22</f>
        <v>-5940</v>
      </c>
      <c r="K23" s="2">
        <f t="shared" ca="1" si="4"/>
        <v>22860</v>
      </c>
      <c r="L23" s="2">
        <f t="shared" ca="1" si="4"/>
        <v>-47140</v>
      </c>
      <c r="M23" s="2">
        <f t="shared" ca="1" si="4"/>
        <v>-47249.414233242191</v>
      </c>
      <c r="N23" s="2">
        <f t="shared" ca="1" si="4"/>
        <v>-50129.414233242191</v>
      </c>
      <c r="O23" s="2">
        <f t="shared" ca="1" si="4"/>
        <v>48670.585766757809</v>
      </c>
      <c r="P23" s="2">
        <f t="shared" ca="1" si="4"/>
        <v>36158.511205863178</v>
      </c>
      <c r="Q23" s="2">
        <f t="shared" ca="1" si="4"/>
        <v>74478.511205863178</v>
      </c>
      <c r="R23" s="2">
        <f t="shared" ca="1" si="4"/>
        <v>4478.5112058631785</v>
      </c>
      <c r="S23" s="2">
        <f t="shared" ca="1" si="4"/>
        <v>-12036.288366619512</v>
      </c>
      <c r="T23" s="2">
        <f t="shared" ca="1" si="4"/>
        <v>275963.7116333805</v>
      </c>
      <c r="U23" s="2">
        <f t="shared" ca="1" si="4"/>
        <v>-12036.288366619512</v>
      </c>
      <c r="V23" s="2">
        <f t="shared" ca="1" si="4"/>
        <v>275421.86572061304</v>
      </c>
      <c r="W23" s="2">
        <f t="shared" ca="1" si="4"/>
        <v>225930.95883991104</v>
      </c>
      <c r="X23" s="2">
        <f t="shared" ca="1" si="4"/>
        <v>93125.023184241916</v>
      </c>
      <c r="Y23" s="2">
        <f t="shared" ca="1" si="4"/>
        <v>234700.76340595132</v>
      </c>
      <c r="Z23" s="2">
        <f t="shared" ca="1" si="4"/>
        <v>12075.257805810208</v>
      </c>
      <c r="AA23" s="2">
        <f t="shared" ca="1" si="4"/>
        <v>7346.8122114281359</v>
      </c>
      <c r="AB23" s="2">
        <f t="shared" ca="1" si="4"/>
        <v>29218.215563180245</v>
      </c>
      <c r="AC23" s="2">
        <f t="shared" ca="1" si="4"/>
        <v>-223.26105747868132</v>
      </c>
      <c r="AD23" s="2">
        <f t="shared" ca="1" si="4"/>
        <v>34097.118137038859</v>
      </c>
      <c r="AE23" s="2">
        <f t="shared" ca="1" si="4"/>
        <v>-88149.43421105227</v>
      </c>
      <c r="AF23" s="2">
        <f t="shared" ca="1" si="4"/>
        <v>343087.7172275522</v>
      </c>
      <c r="AG23" s="2">
        <f t="shared" ca="1" si="4"/>
        <v>54279.507330168621</v>
      </c>
      <c r="AH23" s="2">
        <f t="shared" ca="1" si="4"/>
        <v>340002.25791340251</v>
      </c>
      <c r="AI23" s="2">
        <f t="shared" ca="1" si="4"/>
        <v>370257.75856425986</v>
      </c>
      <c r="AJ23" s="2">
        <f t="shared" ca="1" si="4"/>
        <v>271971.25842839869</v>
      </c>
      <c r="AK23" s="2">
        <f t="shared" ca="1" si="4"/>
        <v>269026.42798362527</v>
      </c>
      <c r="AL23" s="2">
        <f t="shared" ca="1" si="4"/>
        <v>187269.50699270301</v>
      </c>
      <c r="AM23" s="2">
        <f t="shared" ca="1" si="4"/>
        <v>153169.57069925888</v>
      </c>
      <c r="AN23" s="2">
        <f t="shared" ca="1" si="4"/>
        <v>116823.13028188903</v>
      </c>
      <c r="AO23" s="2">
        <f t="shared" ca="1" si="4"/>
        <v>112948.17704057117</v>
      </c>
      <c r="AP23" s="2">
        <f t="shared" ca="1" si="4"/>
        <v>255588.93542960624</v>
      </c>
      <c r="AQ23" s="2">
        <f t="shared" ca="1" si="4"/>
        <v>75009.73313214269</v>
      </c>
      <c r="AR23" s="2">
        <f t="shared" ca="1" si="4"/>
        <v>396484.03600935172</v>
      </c>
      <c r="AS23" s="2">
        <f t="shared" ca="1" si="4"/>
        <v>359867.61621458444</v>
      </c>
      <c r="AT23" s="2">
        <f t="shared" ca="1" si="4"/>
        <v>322632.25128566334</v>
      </c>
      <c r="AU23" s="2">
        <f t="shared" ca="1" si="4"/>
        <v>643409.64819030464</v>
      </c>
      <c r="AV23" s="2">
        <f t="shared" ca="1" si="4"/>
        <v>606054.88223736326</v>
      </c>
      <c r="AW23" s="2">
        <f t="shared" ca="1" si="4"/>
        <v>459414.55565562559</v>
      </c>
      <c r="AX23" s="2">
        <f t="shared" ca="1" si="4"/>
        <v>709771.4202407978</v>
      </c>
      <c r="AY23" s="2">
        <f t="shared" ca="1" si="4"/>
        <v>562971.11581539386</v>
      </c>
      <c r="AZ23" s="2">
        <f t="shared" ca="1" si="4"/>
        <v>703855.22144211666</v>
      </c>
      <c r="BA23" s="2">
        <f t="shared" ca="1" si="4"/>
        <v>809711.98600088782</v>
      </c>
      <c r="BB23" s="2">
        <f t="shared" ca="1" si="4"/>
        <v>806381.84405402374</v>
      </c>
      <c r="BC23" s="2">
        <f t="shared" ca="1" si="4"/>
        <v>767700.66869983496</v>
      </c>
      <c r="BD23" s="2">
        <f t="shared" ca="1" si="4"/>
        <v>907962.71074899728</v>
      </c>
      <c r="BE23" s="2">
        <f t="shared" ca="1" si="4"/>
        <v>1013002.4822518174</v>
      </c>
      <c r="BF23" s="2">
        <f t="shared" ca="1" si="4"/>
        <v>1008655.4901612727</v>
      </c>
      <c r="BG23" s="2">
        <f t="shared" ca="1" si="4"/>
        <v>1113210.2839705553</v>
      </c>
      <c r="BH23" s="2">
        <f t="shared" ca="1" si="4"/>
        <v>1217500.7520646725</v>
      </c>
      <c r="BI23" s="2">
        <f t="shared" ca="1" si="4"/>
        <v>1212351.0638692637</v>
      </c>
      <c r="BJ23" s="2">
        <f t="shared" ca="1" si="4"/>
        <v>1460064.7930396083</v>
      </c>
      <c r="BK23" s="2">
        <f t="shared" ca="1" si="4"/>
        <v>1275464.1841888004</v>
      </c>
      <c r="BL23" s="2">
        <f t="shared" ca="1" si="4"/>
        <v>1522366.5419835728</v>
      </c>
      <c r="BM23" s="2">
        <f t="shared" ca="1" si="4"/>
        <v>1660080.0711011162</v>
      </c>
      <c r="BN23" s="2">
        <f t="shared" ca="1" si="4"/>
        <v>1583419.7872073874</v>
      </c>
      <c r="BO23" s="2">
        <f t="shared" ca="1" si="4"/>
        <v>1864196.6443921516</v>
      </c>
      <c r="BP23" s="2">
        <f t="shared" ca="1" si="4"/>
        <v>1786720.7284904756</v>
      </c>
      <c r="BQ23" s="2">
        <f t="shared" ca="1" si="4"/>
        <v>2066800.2714961162</v>
      </c>
    </row>
    <row r="26" spans="1:69">
      <c r="B26" s="25" t="s">
        <v>176</v>
      </c>
    </row>
    <row r="27" spans="1:69" s="82" customFormat="1">
      <c r="A27" s="59"/>
      <c r="B27" s="59"/>
      <c r="C27" s="87"/>
      <c r="D27" s="84"/>
      <c r="E27" s="40" t="str">
        <f xml:space="preserve">  InpC!E$45</f>
        <v>Opening VAT balance</v>
      </c>
      <c r="F27" s="40">
        <f xml:space="preserve">  InpC!F$45</f>
        <v>0</v>
      </c>
      <c r="G27" s="40" t="str">
        <f xml:space="preserve">  InpC!G$45</f>
        <v>GBP</v>
      </c>
      <c r="M27" s="80"/>
    </row>
    <row r="28" spans="1:69">
      <c r="A28" s="18"/>
      <c r="B28" s="18"/>
      <c r="C28" s="28"/>
      <c r="D28" s="27"/>
      <c r="E28" s="9" t="str">
        <f xml:space="preserve">  Time!E$28</f>
        <v>Period number</v>
      </c>
      <c r="F28" s="9">
        <f xml:space="preserve">  Time!F$28</f>
        <v>0</v>
      </c>
      <c r="G28" s="9" t="str">
        <f xml:space="preserve">  Time!G$28</f>
        <v>Counter</v>
      </c>
      <c r="H28" s="9">
        <f xml:space="preserve">  Time!H$28</f>
        <v>0</v>
      </c>
      <c r="I28" s="9">
        <f xml:space="preserve">  Time!I$28</f>
        <v>0</v>
      </c>
      <c r="J28" s="9">
        <f xml:space="preserve">  Time!J$28</f>
        <v>1</v>
      </c>
      <c r="K28" s="9">
        <f xml:space="preserve">  Time!K$28</f>
        <v>2</v>
      </c>
      <c r="L28" s="9">
        <f xml:space="preserve">  Time!L$28</f>
        <v>3</v>
      </c>
      <c r="M28" s="9">
        <f xml:space="preserve">  Time!M$28</f>
        <v>4</v>
      </c>
      <c r="N28" s="9">
        <f xml:space="preserve">  Time!N$28</f>
        <v>5</v>
      </c>
      <c r="O28" s="9">
        <f xml:space="preserve">  Time!O$28</f>
        <v>6</v>
      </c>
      <c r="P28" s="9">
        <f xml:space="preserve">  Time!P$28</f>
        <v>7</v>
      </c>
      <c r="Q28" s="9">
        <f xml:space="preserve">  Time!Q$28</f>
        <v>8</v>
      </c>
      <c r="R28" s="9">
        <f xml:space="preserve">  Time!R$28</f>
        <v>9</v>
      </c>
      <c r="S28" s="9">
        <f xml:space="preserve">  Time!S$28</f>
        <v>10</v>
      </c>
      <c r="T28" s="9">
        <f xml:space="preserve">  Time!T$28</f>
        <v>11</v>
      </c>
      <c r="U28" s="9">
        <f xml:space="preserve">  Time!U$28</f>
        <v>12</v>
      </c>
      <c r="V28" s="9">
        <f xml:space="preserve">  Time!V$28</f>
        <v>13</v>
      </c>
      <c r="W28" s="9">
        <f xml:space="preserve">  Time!W$28</f>
        <v>14</v>
      </c>
      <c r="X28" s="9">
        <f xml:space="preserve">  Time!X$28</f>
        <v>15</v>
      </c>
      <c r="Y28" s="9">
        <f xml:space="preserve">  Time!Y$28</f>
        <v>16</v>
      </c>
      <c r="Z28" s="9">
        <f xml:space="preserve">  Time!Z$28</f>
        <v>17</v>
      </c>
      <c r="AA28" s="9">
        <f xml:space="preserve">  Time!AA$28</f>
        <v>18</v>
      </c>
      <c r="AB28" s="9">
        <f xml:space="preserve">  Time!AB$28</f>
        <v>19</v>
      </c>
      <c r="AC28" s="9">
        <f xml:space="preserve">  Time!AC$28</f>
        <v>20</v>
      </c>
      <c r="AD28" s="9">
        <f xml:space="preserve">  Time!AD$28</f>
        <v>21</v>
      </c>
      <c r="AE28" s="9">
        <f xml:space="preserve">  Time!AE$28</f>
        <v>22</v>
      </c>
      <c r="AF28" s="9">
        <f xml:space="preserve">  Time!AF$28</f>
        <v>23</v>
      </c>
      <c r="AG28" s="9">
        <f xml:space="preserve">  Time!AG$28</f>
        <v>24</v>
      </c>
      <c r="AH28" s="9">
        <f xml:space="preserve">  Time!AH$28</f>
        <v>25</v>
      </c>
      <c r="AI28" s="9">
        <f xml:space="preserve">  Time!AI$28</f>
        <v>26</v>
      </c>
      <c r="AJ28" s="9">
        <f xml:space="preserve">  Time!AJ$28</f>
        <v>27</v>
      </c>
      <c r="AK28" s="9">
        <f xml:space="preserve">  Time!AK$28</f>
        <v>28</v>
      </c>
      <c r="AL28" s="9">
        <f xml:space="preserve">  Time!AL$28</f>
        <v>29</v>
      </c>
      <c r="AM28" s="9">
        <f xml:space="preserve">  Time!AM$28</f>
        <v>30</v>
      </c>
      <c r="AN28" s="9">
        <f xml:space="preserve">  Time!AN$28</f>
        <v>31</v>
      </c>
      <c r="AO28" s="9">
        <f xml:space="preserve">  Time!AO$28</f>
        <v>32</v>
      </c>
      <c r="AP28" s="9">
        <f xml:space="preserve">  Time!AP$28</f>
        <v>33</v>
      </c>
      <c r="AQ28" s="9">
        <f xml:space="preserve">  Time!AQ$28</f>
        <v>34</v>
      </c>
      <c r="AR28" s="9">
        <f xml:space="preserve">  Time!AR$28</f>
        <v>35</v>
      </c>
      <c r="AS28" s="9">
        <f xml:space="preserve">  Time!AS$28</f>
        <v>36</v>
      </c>
      <c r="AT28" s="9">
        <f xml:space="preserve">  Time!AT$28</f>
        <v>37</v>
      </c>
      <c r="AU28" s="9">
        <f xml:space="preserve">  Time!AU$28</f>
        <v>38</v>
      </c>
      <c r="AV28" s="9">
        <f xml:space="preserve">  Time!AV$28</f>
        <v>39</v>
      </c>
      <c r="AW28" s="9">
        <f xml:space="preserve">  Time!AW$28</f>
        <v>40</v>
      </c>
      <c r="AX28" s="9">
        <f xml:space="preserve">  Time!AX$28</f>
        <v>41</v>
      </c>
      <c r="AY28" s="9">
        <f xml:space="preserve">  Time!AY$28</f>
        <v>42</v>
      </c>
      <c r="AZ28" s="9">
        <f xml:space="preserve">  Time!AZ$28</f>
        <v>43</v>
      </c>
      <c r="BA28" s="9">
        <f xml:space="preserve">  Time!BA$28</f>
        <v>44</v>
      </c>
      <c r="BB28" s="9">
        <f xml:space="preserve">  Time!BB$28</f>
        <v>45</v>
      </c>
      <c r="BC28" s="9">
        <f xml:space="preserve">  Time!BC$28</f>
        <v>46</v>
      </c>
      <c r="BD28" s="9">
        <f xml:space="preserve">  Time!BD$28</f>
        <v>47</v>
      </c>
      <c r="BE28" s="9">
        <f xml:space="preserve">  Time!BE$28</f>
        <v>48</v>
      </c>
      <c r="BF28" s="9">
        <f xml:space="preserve">  Time!BF$28</f>
        <v>49</v>
      </c>
      <c r="BG28" s="9">
        <f xml:space="preserve">  Time!BG$28</f>
        <v>50</v>
      </c>
      <c r="BH28" s="9">
        <f xml:space="preserve">  Time!BH$28</f>
        <v>51</v>
      </c>
      <c r="BI28" s="9">
        <f xml:space="preserve">  Time!BI$28</f>
        <v>52</v>
      </c>
      <c r="BJ28" s="9">
        <f xml:space="preserve">  Time!BJ$28</f>
        <v>53</v>
      </c>
      <c r="BK28" s="9">
        <f xml:space="preserve">  Time!BK$28</f>
        <v>54</v>
      </c>
      <c r="BL28" s="9">
        <f xml:space="preserve">  Time!BL$28</f>
        <v>55</v>
      </c>
      <c r="BM28" s="9">
        <f xml:space="preserve">  Time!BM$28</f>
        <v>56</v>
      </c>
      <c r="BN28" s="9">
        <f xml:space="preserve">  Time!BN$28</f>
        <v>57</v>
      </c>
      <c r="BO28" s="9">
        <f xml:space="preserve">  Time!BO$28</f>
        <v>58</v>
      </c>
      <c r="BP28" s="9">
        <f xml:space="preserve">  Time!BP$28</f>
        <v>59</v>
      </c>
      <c r="BQ28" s="9">
        <f xml:space="preserve">  Time!BQ$28</f>
        <v>60</v>
      </c>
    </row>
    <row r="29" spans="1:69">
      <c r="E29" s="47" t="s">
        <v>289</v>
      </c>
      <c r="G29" s="47" t="s">
        <v>258</v>
      </c>
      <c r="J29" s="2">
        <f t="shared" ref="J29:BQ29" si="5" xml:space="preserve">  I32</f>
        <v>0</v>
      </c>
      <c r="K29" s="2">
        <f t="shared" ca="1" si="5"/>
        <v>-5940</v>
      </c>
      <c r="L29" s="2">
        <f t="shared" ca="1" si="5"/>
        <v>16920</v>
      </c>
      <c r="M29" s="2">
        <f t="shared" ca="1" si="5"/>
        <v>-47140</v>
      </c>
      <c r="N29" s="2">
        <f t="shared" ca="1" si="5"/>
        <v>-94389.414233242191</v>
      </c>
      <c r="O29" s="2">
        <f t="shared" ca="1" si="5"/>
        <v>-144518.82846648438</v>
      </c>
      <c r="P29" s="2">
        <f t="shared" ca="1" si="5"/>
        <v>48670.585766757809</v>
      </c>
      <c r="Q29" s="2">
        <f t="shared" ca="1" si="5"/>
        <v>84829.096972620988</v>
      </c>
      <c r="R29" s="2">
        <f t="shared" ca="1" si="5"/>
        <v>159307.60817848417</v>
      </c>
      <c r="S29" s="2">
        <f t="shared" ca="1" si="5"/>
        <v>4478.5112058631785</v>
      </c>
      <c r="T29" s="2">
        <f t="shared" ca="1" si="5"/>
        <v>-7557.7771607563336</v>
      </c>
      <c r="U29" s="2">
        <f t="shared" ca="1" si="5"/>
        <v>268405.93447262415</v>
      </c>
      <c r="V29" s="2">
        <f t="shared" ca="1" si="5"/>
        <v>-12036.288366619498</v>
      </c>
      <c r="W29" s="2">
        <f t="shared" ca="1" si="5"/>
        <v>263385.57735399355</v>
      </c>
      <c r="X29" s="2">
        <f t="shared" ca="1" si="5"/>
        <v>489316.53619390458</v>
      </c>
      <c r="Y29" s="2">
        <f t="shared" ca="1" si="5"/>
        <v>93125.02318424196</v>
      </c>
      <c r="Z29" s="2">
        <f t="shared" ca="1" si="5"/>
        <v>327825.78659019328</v>
      </c>
      <c r="AA29" s="2">
        <f t="shared" ca="1" si="5"/>
        <v>339901.04439600348</v>
      </c>
      <c r="AB29" s="2">
        <f t="shared" ca="1" si="5"/>
        <v>7346.8122114281286</v>
      </c>
      <c r="AC29" s="2">
        <f t="shared" ca="1" si="5"/>
        <v>36565.027774608374</v>
      </c>
      <c r="AD29" s="2">
        <f t="shared" ca="1" si="5"/>
        <v>36341.766717129693</v>
      </c>
      <c r="AE29" s="2">
        <f t="shared" ca="1" si="5"/>
        <v>34097.118137038851</v>
      </c>
      <c r="AF29" s="2">
        <f t="shared" ca="1" si="5"/>
        <v>-54052.316074013419</v>
      </c>
      <c r="AG29" s="2">
        <f t="shared" ca="1" si="5"/>
        <v>289035.40115353878</v>
      </c>
      <c r="AH29" s="2">
        <f t="shared" ca="1" si="5"/>
        <v>54279.507330168621</v>
      </c>
      <c r="AI29" s="2">
        <f t="shared" ca="1" si="5"/>
        <v>394281.76524357114</v>
      </c>
      <c r="AJ29" s="2">
        <f t="shared" ca="1" si="5"/>
        <v>764539.52380783099</v>
      </c>
      <c r="AK29" s="2">
        <f t="shared" ca="1" si="5"/>
        <v>271971.25842839864</v>
      </c>
      <c r="AL29" s="2">
        <f t="shared" ca="1" si="5"/>
        <v>540997.68641202385</v>
      </c>
      <c r="AM29" s="2">
        <f t="shared" ca="1" si="5"/>
        <v>728267.19340472692</v>
      </c>
      <c r="AN29" s="2">
        <f t="shared" ca="1" si="5"/>
        <v>153169.57069925894</v>
      </c>
      <c r="AO29" s="2">
        <f t="shared" ca="1" si="5"/>
        <v>269992.70098114794</v>
      </c>
      <c r="AP29" s="2">
        <f t="shared" ca="1" si="5"/>
        <v>382940.87802171911</v>
      </c>
      <c r="AQ29" s="2">
        <f t="shared" ca="1" si="5"/>
        <v>255588.93542960618</v>
      </c>
      <c r="AR29" s="2">
        <f t="shared" ca="1" si="5"/>
        <v>330598.66856174887</v>
      </c>
      <c r="AS29" s="2">
        <f t="shared" ca="1" si="5"/>
        <v>727082.70457110065</v>
      </c>
      <c r="AT29" s="2">
        <f t="shared" ca="1" si="5"/>
        <v>359867.61621458433</v>
      </c>
      <c r="AU29" s="2">
        <f t="shared" ca="1" si="5"/>
        <v>682499.86750024767</v>
      </c>
      <c r="AV29" s="2">
        <f t="shared" ca="1" si="5"/>
        <v>1325909.5156905523</v>
      </c>
      <c r="AW29" s="2">
        <f t="shared" ca="1" si="5"/>
        <v>606054.88223736337</v>
      </c>
      <c r="AX29" s="2">
        <f t="shared" ca="1" si="5"/>
        <v>1065469.437892989</v>
      </c>
      <c r="AY29" s="2">
        <f t="shared" ca="1" si="5"/>
        <v>1775240.8581337868</v>
      </c>
      <c r="AZ29" s="2">
        <f t="shared" ca="1" si="5"/>
        <v>562971.11581539409</v>
      </c>
      <c r="BA29" s="2">
        <f t="shared" ca="1" si="5"/>
        <v>1266826.3372575107</v>
      </c>
      <c r="BB29" s="2">
        <f t="shared" ca="1" si="5"/>
        <v>2076538.3232583986</v>
      </c>
      <c r="BC29" s="2">
        <f t="shared" ca="1" si="5"/>
        <v>806381.84405402374</v>
      </c>
      <c r="BD29" s="2">
        <f t="shared" ca="1" si="5"/>
        <v>1574082.5127538587</v>
      </c>
      <c r="BE29" s="2">
        <f t="shared" ca="1" si="5"/>
        <v>2482045.2235028557</v>
      </c>
      <c r="BF29" s="2">
        <f t="shared" ca="1" si="5"/>
        <v>1013002.4822518174</v>
      </c>
      <c r="BG29" s="2">
        <f t="shared" ca="1" si="5"/>
        <v>2021657.9724130901</v>
      </c>
      <c r="BH29" s="2">
        <f t="shared" ca="1" si="5"/>
        <v>3134868.2563836453</v>
      </c>
      <c r="BI29" s="2">
        <f t="shared" ca="1" si="5"/>
        <v>1217500.7520646723</v>
      </c>
      <c r="BJ29" s="2">
        <f t="shared" ca="1" si="5"/>
        <v>2429851.8159339363</v>
      </c>
      <c r="BK29" s="2">
        <f t="shared" ca="1" si="5"/>
        <v>3889916.6089735446</v>
      </c>
      <c r="BL29" s="2">
        <f t="shared" ca="1" si="5"/>
        <v>1275464.1841888004</v>
      </c>
      <c r="BM29" s="2">
        <f t="shared" ca="1" si="5"/>
        <v>2797830.7261723732</v>
      </c>
      <c r="BN29" s="2">
        <f t="shared" ca="1" si="5"/>
        <v>4457910.7972734896</v>
      </c>
      <c r="BO29" s="2">
        <f t="shared" ca="1" si="5"/>
        <v>1583419.7872073874</v>
      </c>
      <c r="BP29" s="2">
        <f t="shared" ca="1" si="5"/>
        <v>3447616.4315995388</v>
      </c>
      <c r="BQ29" s="2">
        <f t="shared" ca="1" si="5"/>
        <v>5234337.1600900143</v>
      </c>
    </row>
    <row r="30" spans="1:69">
      <c r="D30" s="91" t="s">
        <v>219</v>
      </c>
      <c r="E30" s="2" t="str">
        <f t="shared" ref="E30:BQ30" si="6" xml:space="preserve">  E$23</f>
        <v>VAT due</v>
      </c>
      <c r="F30" s="2">
        <f t="shared" si="6"/>
        <v>0</v>
      </c>
      <c r="G30" s="2" t="str">
        <f t="shared" si="6"/>
        <v>GBP</v>
      </c>
      <c r="H30" s="2">
        <f t="shared" ca="1" si="6"/>
        <v>30501106.777252983</v>
      </c>
      <c r="I30" s="2">
        <f t="shared" si="6"/>
        <v>0</v>
      </c>
      <c r="J30" s="2">
        <f t="shared" ca="1" si="6"/>
        <v>-5940</v>
      </c>
      <c r="K30" s="2">
        <f t="shared" ca="1" si="6"/>
        <v>22860</v>
      </c>
      <c r="L30" s="2">
        <f t="shared" ca="1" si="6"/>
        <v>-47140</v>
      </c>
      <c r="M30" s="2">
        <f t="shared" ca="1" si="6"/>
        <v>-47249.414233242191</v>
      </c>
      <c r="N30" s="2">
        <f t="shared" ca="1" si="6"/>
        <v>-50129.414233242191</v>
      </c>
      <c r="O30" s="2">
        <f t="shared" ca="1" si="6"/>
        <v>48670.585766757809</v>
      </c>
      <c r="P30" s="2">
        <f t="shared" ca="1" si="6"/>
        <v>36158.511205863178</v>
      </c>
      <c r="Q30" s="2">
        <f t="shared" ca="1" si="6"/>
        <v>74478.511205863178</v>
      </c>
      <c r="R30" s="2">
        <f t="shared" ca="1" si="6"/>
        <v>4478.5112058631785</v>
      </c>
      <c r="S30" s="2">
        <f t="shared" ca="1" si="6"/>
        <v>-12036.288366619512</v>
      </c>
      <c r="T30" s="2">
        <f t="shared" ca="1" si="6"/>
        <v>275963.7116333805</v>
      </c>
      <c r="U30" s="2">
        <f t="shared" ca="1" si="6"/>
        <v>-12036.288366619512</v>
      </c>
      <c r="V30" s="2">
        <f t="shared" ca="1" si="6"/>
        <v>275421.86572061304</v>
      </c>
      <c r="W30" s="2">
        <f t="shared" ca="1" si="6"/>
        <v>225930.95883991104</v>
      </c>
      <c r="X30" s="2">
        <f t="shared" ca="1" si="6"/>
        <v>93125.023184241916</v>
      </c>
      <c r="Y30" s="2">
        <f t="shared" ca="1" si="6"/>
        <v>234700.76340595132</v>
      </c>
      <c r="Z30" s="2">
        <f t="shared" ca="1" si="6"/>
        <v>12075.257805810208</v>
      </c>
      <c r="AA30" s="2">
        <f t="shared" ca="1" si="6"/>
        <v>7346.8122114281359</v>
      </c>
      <c r="AB30" s="2">
        <f t="shared" ca="1" si="6"/>
        <v>29218.215563180245</v>
      </c>
      <c r="AC30" s="2">
        <f t="shared" ca="1" si="6"/>
        <v>-223.26105747868132</v>
      </c>
      <c r="AD30" s="2">
        <f t="shared" ca="1" si="6"/>
        <v>34097.118137038859</v>
      </c>
      <c r="AE30" s="2">
        <f t="shared" ca="1" si="6"/>
        <v>-88149.43421105227</v>
      </c>
      <c r="AF30" s="2">
        <f t="shared" ca="1" si="6"/>
        <v>343087.7172275522</v>
      </c>
      <c r="AG30" s="2">
        <f t="shared" ca="1" si="6"/>
        <v>54279.507330168621</v>
      </c>
      <c r="AH30" s="2">
        <f t="shared" ca="1" si="6"/>
        <v>340002.25791340251</v>
      </c>
      <c r="AI30" s="2">
        <f t="shared" ca="1" si="6"/>
        <v>370257.75856425986</v>
      </c>
      <c r="AJ30" s="2">
        <f t="shared" ca="1" si="6"/>
        <v>271971.25842839869</v>
      </c>
      <c r="AK30" s="2">
        <f t="shared" ca="1" si="6"/>
        <v>269026.42798362527</v>
      </c>
      <c r="AL30" s="2">
        <f t="shared" ca="1" si="6"/>
        <v>187269.50699270301</v>
      </c>
      <c r="AM30" s="2">
        <f t="shared" ca="1" si="6"/>
        <v>153169.57069925888</v>
      </c>
      <c r="AN30" s="2">
        <f t="shared" ca="1" si="6"/>
        <v>116823.13028188903</v>
      </c>
      <c r="AO30" s="2">
        <f t="shared" ca="1" si="6"/>
        <v>112948.17704057117</v>
      </c>
      <c r="AP30" s="2">
        <f t="shared" ca="1" si="6"/>
        <v>255588.93542960624</v>
      </c>
      <c r="AQ30" s="2">
        <f t="shared" ca="1" si="6"/>
        <v>75009.73313214269</v>
      </c>
      <c r="AR30" s="2">
        <f t="shared" ca="1" si="6"/>
        <v>396484.03600935172</v>
      </c>
      <c r="AS30" s="2">
        <f t="shared" ca="1" si="6"/>
        <v>359867.61621458444</v>
      </c>
      <c r="AT30" s="2">
        <f t="shared" ca="1" si="6"/>
        <v>322632.25128566334</v>
      </c>
      <c r="AU30" s="2">
        <f t="shared" ca="1" si="6"/>
        <v>643409.64819030464</v>
      </c>
      <c r="AV30" s="2">
        <f t="shared" ca="1" si="6"/>
        <v>606054.88223736326</v>
      </c>
      <c r="AW30" s="2">
        <f t="shared" ca="1" si="6"/>
        <v>459414.55565562559</v>
      </c>
      <c r="AX30" s="2">
        <f t="shared" ca="1" si="6"/>
        <v>709771.4202407978</v>
      </c>
      <c r="AY30" s="2">
        <f t="shared" ca="1" si="6"/>
        <v>562971.11581539386</v>
      </c>
      <c r="AZ30" s="2">
        <f t="shared" ca="1" si="6"/>
        <v>703855.22144211666</v>
      </c>
      <c r="BA30" s="2">
        <f t="shared" ca="1" si="6"/>
        <v>809711.98600088782</v>
      </c>
      <c r="BB30" s="2">
        <f t="shared" ca="1" si="6"/>
        <v>806381.84405402374</v>
      </c>
      <c r="BC30" s="2">
        <f t="shared" ca="1" si="6"/>
        <v>767700.66869983496</v>
      </c>
      <c r="BD30" s="2">
        <f t="shared" ca="1" si="6"/>
        <v>907962.71074899728</v>
      </c>
      <c r="BE30" s="2">
        <f t="shared" ca="1" si="6"/>
        <v>1013002.4822518174</v>
      </c>
      <c r="BF30" s="2">
        <f t="shared" ca="1" si="6"/>
        <v>1008655.4901612727</v>
      </c>
      <c r="BG30" s="2">
        <f t="shared" ca="1" si="6"/>
        <v>1113210.2839705553</v>
      </c>
      <c r="BH30" s="2">
        <f t="shared" ca="1" si="6"/>
        <v>1217500.7520646725</v>
      </c>
      <c r="BI30" s="2">
        <f t="shared" ca="1" si="6"/>
        <v>1212351.0638692637</v>
      </c>
      <c r="BJ30" s="2">
        <f t="shared" ca="1" si="6"/>
        <v>1460064.7930396083</v>
      </c>
      <c r="BK30" s="2">
        <f t="shared" ca="1" si="6"/>
        <v>1275464.1841888004</v>
      </c>
      <c r="BL30" s="2">
        <f t="shared" ca="1" si="6"/>
        <v>1522366.5419835728</v>
      </c>
      <c r="BM30" s="2">
        <f t="shared" ca="1" si="6"/>
        <v>1660080.0711011162</v>
      </c>
      <c r="BN30" s="2">
        <f t="shared" ca="1" si="6"/>
        <v>1583419.7872073874</v>
      </c>
      <c r="BO30" s="2">
        <f t="shared" ca="1" si="6"/>
        <v>1864196.6443921516</v>
      </c>
      <c r="BP30" s="2">
        <f t="shared" ca="1" si="6"/>
        <v>1786720.7284904756</v>
      </c>
      <c r="BQ30" s="2">
        <f t="shared" ca="1" si="6"/>
        <v>2066800.2714961162</v>
      </c>
    </row>
    <row r="31" spans="1:69">
      <c r="D31" s="91" t="s">
        <v>300</v>
      </c>
      <c r="E31" s="2" t="str">
        <f t="shared" ref="E31:BQ31" si="7" xml:space="preserve">  E$37</f>
        <v>VAT paid POS</v>
      </c>
      <c r="F31" s="2">
        <f t="shared" si="7"/>
        <v>0</v>
      </c>
      <c r="G31" s="2" t="str">
        <f t="shared" si="7"/>
        <v>GBP</v>
      </c>
      <c r="H31" s="2">
        <f t="shared" ca="1" si="7"/>
        <v>28434306.505756866</v>
      </c>
      <c r="I31" s="2">
        <f t="shared" si="7"/>
        <v>0</v>
      </c>
      <c r="J31" s="2">
        <f t="shared" ca="1" si="7"/>
        <v>0</v>
      </c>
      <c r="K31" s="2">
        <f t="shared" ca="1" si="7"/>
        <v>0</v>
      </c>
      <c r="L31" s="2">
        <f t="shared" ca="1" si="7"/>
        <v>16920</v>
      </c>
      <c r="M31" s="2">
        <f t="shared" ca="1" si="7"/>
        <v>0</v>
      </c>
      <c r="N31" s="2">
        <f t="shared" ca="1" si="7"/>
        <v>0</v>
      </c>
      <c r="O31" s="2">
        <f t="shared" ca="1" si="7"/>
        <v>-144518.82846648438</v>
      </c>
      <c r="P31" s="2">
        <f t="shared" ca="1" si="7"/>
        <v>0</v>
      </c>
      <c r="Q31" s="2">
        <f t="shared" ca="1" si="7"/>
        <v>0</v>
      </c>
      <c r="R31" s="2">
        <f t="shared" ca="1" si="7"/>
        <v>159307.60817848417</v>
      </c>
      <c r="S31" s="2">
        <f t="shared" ca="1" si="7"/>
        <v>0</v>
      </c>
      <c r="T31" s="2">
        <f t="shared" ca="1" si="7"/>
        <v>0</v>
      </c>
      <c r="U31" s="2">
        <f t="shared" ca="1" si="7"/>
        <v>268405.93447262415</v>
      </c>
      <c r="V31" s="2">
        <f t="shared" ca="1" si="7"/>
        <v>0</v>
      </c>
      <c r="W31" s="2">
        <f t="shared" ca="1" si="7"/>
        <v>0</v>
      </c>
      <c r="X31" s="2">
        <f t="shared" ca="1" si="7"/>
        <v>489316.53619390458</v>
      </c>
      <c r="Y31" s="2">
        <f t="shared" ca="1" si="7"/>
        <v>0</v>
      </c>
      <c r="Z31" s="2">
        <f t="shared" ca="1" si="7"/>
        <v>0</v>
      </c>
      <c r="AA31" s="2">
        <f t="shared" ca="1" si="7"/>
        <v>339901.04439600348</v>
      </c>
      <c r="AB31" s="2">
        <f t="shared" ca="1" si="7"/>
        <v>0</v>
      </c>
      <c r="AC31" s="2">
        <f t="shared" ca="1" si="7"/>
        <v>0</v>
      </c>
      <c r="AD31" s="2">
        <f t="shared" ca="1" si="7"/>
        <v>36341.766717129693</v>
      </c>
      <c r="AE31" s="2">
        <f t="shared" ca="1" si="7"/>
        <v>0</v>
      </c>
      <c r="AF31" s="2">
        <f t="shared" ca="1" si="7"/>
        <v>0</v>
      </c>
      <c r="AG31" s="2">
        <f t="shared" ca="1" si="7"/>
        <v>289035.40115353878</v>
      </c>
      <c r="AH31" s="2">
        <f t="shared" ca="1" si="7"/>
        <v>0</v>
      </c>
      <c r="AI31" s="2">
        <f t="shared" ca="1" si="7"/>
        <v>0</v>
      </c>
      <c r="AJ31" s="2">
        <f t="shared" ca="1" si="7"/>
        <v>764539.52380783099</v>
      </c>
      <c r="AK31" s="2">
        <f t="shared" ca="1" si="7"/>
        <v>0</v>
      </c>
      <c r="AL31" s="2">
        <f t="shared" ca="1" si="7"/>
        <v>0</v>
      </c>
      <c r="AM31" s="2">
        <f t="shared" ca="1" si="7"/>
        <v>728267.19340472692</v>
      </c>
      <c r="AN31" s="2">
        <f t="shared" ca="1" si="7"/>
        <v>0</v>
      </c>
      <c r="AO31" s="2">
        <f t="shared" ca="1" si="7"/>
        <v>0</v>
      </c>
      <c r="AP31" s="2">
        <f t="shared" ca="1" si="7"/>
        <v>382940.87802171911</v>
      </c>
      <c r="AQ31" s="2">
        <f t="shared" ca="1" si="7"/>
        <v>0</v>
      </c>
      <c r="AR31" s="2">
        <f t="shared" ca="1" si="7"/>
        <v>0</v>
      </c>
      <c r="AS31" s="2">
        <f t="shared" ca="1" si="7"/>
        <v>727082.70457110065</v>
      </c>
      <c r="AT31" s="2">
        <f t="shared" ca="1" si="7"/>
        <v>0</v>
      </c>
      <c r="AU31" s="2">
        <f t="shared" ca="1" si="7"/>
        <v>0</v>
      </c>
      <c r="AV31" s="2">
        <f t="shared" ca="1" si="7"/>
        <v>1325909.5156905523</v>
      </c>
      <c r="AW31" s="2">
        <f t="shared" ca="1" si="7"/>
        <v>0</v>
      </c>
      <c r="AX31" s="2">
        <f t="shared" ca="1" si="7"/>
        <v>0</v>
      </c>
      <c r="AY31" s="2">
        <f t="shared" ca="1" si="7"/>
        <v>1775240.8581337868</v>
      </c>
      <c r="AZ31" s="2">
        <f t="shared" ca="1" si="7"/>
        <v>0</v>
      </c>
      <c r="BA31" s="2">
        <f t="shared" ca="1" si="7"/>
        <v>0</v>
      </c>
      <c r="BB31" s="2">
        <f t="shared" ca="1" si="7"/>
        <v>2076538.3232583986</v>
      </c>
      <c r="BC31" s="2">
        <f t="shared" ca="1" si="7"/>
        <v>0</v>
      </c>
      <c r="BD31" s="2">
        <f t="shared" ca="1" si="7"/>
        <v>0</v>
      </c>
      <c r="BE31" s="2">
        <f t="shared" ca="1" si="7"/>
        <v>2482045.2235028557</v>
      </c>
      <c r="BF31" s="2">
        <f t="shared" ca="1" si="7"/>
        <v>0</v>
      </c>
      <c r="BG31" s="2">
        <f t="shared" ca="1" si="7"/>
        <v>0</v>
      </c>
      <c r="BH31" s="2">
        <f t="shared" ca="1" si="7"/>
        <v>3134868.2563836453</v>
      </c>
      <c r="BI31" s="2">
        <f t="shared" ca="1" si="7"/>
        <v>0</v>
      </c>
      <c r="BJ31" s="2">
        <f t="shared" ca="1" si="7"/>
        <v>0</v>
      </c>
      <c r="BK31" s="2">
        <f t="shared" ca="1" si="7"/>
        <v>3889916.6089735446</v>
      </c>
      <c r="BL31" s="2">
        <f t="shared" ca="1" si="7"/>
        <v>0</v>
      </c>
      <c r="BM31" s="2">
        <f t="shared" ca="1" si="7"/>
        <v>0</v>
      </c>
      <c r="BN31" s="2">
        <f t="shared" ca="1" si="7"/>
        <v>4457910.7972734896</v>
      </c>
      <c r="BO31" s="2">
        <f t="shared" ca="1" si="7"/>
        <v>0</v>
      </c>
      <c r="BP31" s="2">
        <f t="shared" ca="1" si="7"/>
        <v>0</v>
      </c>
      <c r="BQ31" s="2">
        <f t="shared" ca="1" si="7"/>
        <v>5234337.1600900143</v>
      </c>
    </row>
    <row r="32" spans="1:69" s="81" customFormat="1">
      <c r="A32" s="63"/>
      <c r="B32" s="63"/>
      <c r="C32" s="88"/>
      <c r="D32" s="90"/>
      <c r="E32" s="33" t="s">
        <v>176</v>
      </c>
      <c r="F32" s="33"/>
      <c r="G32" s="33" t="s">
        <v>258</v>
      </c>
      <c r="H32" s="33"/>
      <c r="I32" s="11">
        <f t="shared" ref="I32:BQ32" si="8" xml:space="preserve">  IF( I28 = 0, $F27, I29 + I30 - I31 )</f>
        <v>0</v>
      </c>
      <c r="J32" s="11">
        <f t="shared" ca="1" si="8"/>
        <v>-5940</v>
      </c>
      <c r="K32" s="11">
        <f t="shared" ca="1" si="8"/>
        <v>16920</v>
      </c>
      <c r="L32" s="11">
        <f t="shared" ca="1" si="8"/>
        <v>-47140</v>
      </c>
      <c r="M32" s="11">
        <f t="shared" ca="1" si="8"/>
        <v>-94389.414233242191</v>
      </c>
      <c r="N32" s="11">
        <f t="shared" ca="1" si="8"/>
        <v>-144518.82846648438</v>
      </c>
      <c r="O32" s="11">
        <f t="shared" ca="1" si="8"/>
        <v>48670.585766757809</v>
      </c>
      <c r="P32" s="11">
        <f t="shared" ca="1" si="8"/>
        <v>84829.096972620988</v>
      </c>
      <c r="Q32" s="11">
        <f t="shared" ca="1" si="8"/>
        <v>159307.60817848417</v>
      </c>
      <c r="R32" s="11">
        <f t="shared" ca="1" si="8"/>
        <v>4478.5112058631785</v>
      </c>
      <c r="S32" s="11">
        <f t="shared" ca="1" si="8"/>
        <v>-7557.7771607563336</v>
      </c>
      <c r="T32" s="11">
        <f t="shared" ca="1" si="8"/>
        <v>268405.93447262415</v>
      </c>
      <c r="U32" s="11">
        <f t="shared" ca="1" si="8"/>
        <v>-12036.288366619498</v>
      </c>
      <c r="V32" s="11">
        <f t="shared" ca="1" si="8"/>
        <v>263385.57735399355</v>
      </c>
      <c r="W32" s="11">
        <f t="shared" ca="1" si="8"/>
        <v>489316.53619390458</v>
      </c>
      <c r="X32" s="11">
        <f t="shared" ca="1" si="8"/>
        <v>93125.02318424196</v>
      </c>
      <c r="Y32" s="11">
        <f t="shared" ca="1" si="8"/>
        <v>327825.78659019328</v>
      </c>
      <c r="Z32" s="11">
        <f t="shared" ca="1" si="8"/>
        <v>339901.04439600348</v>
      </c>
      <c r="AA32" s="11">
        <f t="shared" ca="1" si="8"/>
        <v>7346.8122114281286</v>
      </c>
      <c r="AB32" s="11">
        <f t="shared" ca="1" si="8"/>
        <v>36565.027774608374</v>
      </c>
      <c r="AC32" s="11">
        <f t="shared" ca="1" si="8"/>
        <v>36341.766717129693</v>
      </c>
      <c r="AD32" s="11">
        <f t="shared" ca="1" si="8"/>
        <v>34097.118137038851</v>
      </c>
      <c r="AE32" s="11">
        <f t="shared" ca="1" si="8"/>
        <v>-54052.316074013419</v>
      </c>
      <c r="AF32" s="11">
        <f t="shared" ca="1" si="8"/>
        <v>289035.40115353878</v>
      </c>
      <c r="AG32" s="11">
        <f t="shared" ca="1" si="8"/>
        <v>54279.507330168621</v>
      </c>
      <c r="AH32" s="11">
        <f t="shared" ca="1" si="8"/>
        <v>394281.76524357114</v>
      </c>
      <c r="AI32" s="11">
        <f t="shared" ca="1" si="8"/>
        <v>764539.52380783099</v>
      </c>
      <c r="AJ32" s="11">
        <f t="shared" ca="1" si="8"/>
        <v>271971.25842839864</v>
      </c>
      <c r="AK32" s="11">
        <f t="shared" ca="1" si="8"/>
        <v>540997.68641202385</v>
      </c>
      <c r="AL32" s="11">
        <f t="shared" ca="1" si="8"/>
        <v>728267.19340472692</v>
      </c>
      <c r="AM32" s="11">
        <f t="shared" ca="1" si="8"/>
        <v>153169.57069925894</v>
      </c>
      <c r="AN32" s="11">
        <f t="shared" ca="1" si="8"/>
        <v>269992.70098114794</v>
      </c>
      <c r="AO32" s="11">
        <f t="shared" ca="1" si="8"/>
        <v>382940.87802171911</v>
      </c>
      <c r="AP32" s="11">
        <f t="shared" ca="1" si="8"/>
        <v>255588.93542960618</v>
      </c>
      <c r="AQ32" s="11">
        <f t="shared" ca="1" si="8"/>
        <v>330598.66856174887</v>
      </c>
      <c r="AR32" s="11">
        <f t="shared" ca="1" si="8"/>
        <v>727082.70457110065</v>
      </c>
      <c r="AS32" s="11">
        <f t="shared" ca="1" si="8"/>
        <v>359867.61621458433</v>
      </c>
      <c r="AT32" s="11">
        <f t="shared" ca="1" si="8"/>
        <v>682499.86750024767</v>
      </c>
      <c r="AU32" s="11">
        <f t="shared" ca="1" si="8"/>
        <v>1325909.5156905523</v>
      </c>
      <c r="AV32" s="11">
        <f t="shared" ca="1" si="8"/>
        <v>606054.88223736337</v>
      </c>
      <c r="AW32" s="11">
        <f t="shared" ca="1" si="8"/>
        <v>1065469.437892989</v>
      </c>
      <c r="AX32" s="11">
        <f t="shared" ca="1" si="8"/>
        <v>1775240.8581337868</v>
      </c>
      <c r="AY32" s="11">
        <f t="shared" ca="1" si="8"/>
        <v>562971.11581539409</v>
      </c>
      <c r="AZ32" s="11">
        <f t="shared" ca="1" si="8"/>
        <v>1266826.3372575107</v>
      </c>
      <c r="BA32" s="11">
        <f t="shared" ca="1" si="8"/>
        <v>2076538.3232583986</v>
      </c>
      <c r="BB32" s="11">
        <f t="shared" ca="1" si="8"/>
        <v>806381.84405402374</v>
      </c>
      <c r="BC32" s="11">
        <f t="shared" ca="1" si="8"/>
        <v>1574082.5127538587</v>
      </c>
      <c r="BD32" s="11">
        <f t="shared" ca="1" si="8"/>
        <v>2482045.2235028557</v>
      </c>
      <c r="BE32" s="11">
        <f t="shared" ca="1" si="8"/>
        <v>1013002.4822518174</v>
      </c>
      <c r="BF32" s="11">
        <f t="shared" ca="1" si="8"/>
        <v>2021657.9724130901</v>
      </c>
      <c r="BG32" s="11">
        <f t="shared" ca="1" si="8"/>
        <v>3134868.2563836453</v>
      </c>
      <c r="BH32" s="11">
        <f t="shared" ca="1" si="8"/>
        <v>1217500.7520646723</v>
      </c>
      <c r="BI32" s="11">
        <f t="shared" ca="1" si="8"/>
        <v>2429851.8159339363</v>
      </c>
      <c r="BJ32" s="11">
        <f t="shared" ca="1" si="8"/>
        <v>3889916.6089735446</v>
      </c>
      <c r="BK32" s="11">
        <f t="shared" ca="1" si="8"/>
        <v>1275464.1841888004</v>
      </c>
      <c r="BL32" s="11">
        <f t="shared" ca="1" si="8"/>
        <v>2797830.7261723732</v>
      </c>
      <c r="BM32" s="11">
        <f t="shared" ca="1" si="8"/>
        <v>4457910.7972734896</v>
      </c>
      <c r="BN32" s="11">
        <f t="shared" ca="1" si="8"/>
        <v>1583419.7872073874</v>
      </c>
      <c r="BO32" s="11">
        <f t="shared" ca="1" si="8"/>
        <v>3447616.4315995388</v>
      </c>
      <c r="BP32" s="11">
        <f t="shared" ca="1" si="8"/>
        <v>5234337.1600900143</v>
      </c>
      <c r="BQ32" s="11">
        <f t="shared" ca="1" si="8"/>
        <v>2066800.2714961162</v>
      </c>
    </row>
    <row r="34" spans="1:69">
      <c r="B34" s="25" t="s">
        <v>267</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28434306.505756866</v>
      </c>
      <c r="I36" s="2">
        <f t="shared" si="10"/>
        <v>0</v>
      </c>
      <c r="J36" s="2">
        <f t="shared" ca="1" si="10"/>
        <v>0</v>
      </c>
      <c r="K36" s="2">
        <f t="shared" ca="1" si="10"/>
        <v>16920</v>
      </c>
      <c r="L36" s="2">
        <f t="shared" ca="1" si="10"/>
        <v>0</v>
      </c>
      <c r="M36" s="2">
        <f t="shared" ca="1" si="10"/>
        <v>0</v>
      </c>
      <c r="N36" s="2">
        <f t="shared" ca="1" si="10"/>
        <v>-144518.82846648438</v>
      </c>
      <c r="O36" s="2">
        <f t="shared" ca="1" si="10"/>
        <v>0</v>
      </c>
      <c r="P36" s="2">
        <f t="shared" ca="1" si="10"/>
        <v>0</v>
      </c>
      <c r="Q36" s="2">
        <f t="shared" ca="1" si="10"/>
        <v>159307.60817848417</v>
      </c>
      <c r="R36" s="2">
        <f t="shared" ca="1" si="10"/>
        <v>0</v>
      </c>
      <c r="S36" s="2">
        <f t="shared" ca="1" si="10"/>
        <v>0</v>
      </c>
      <c r="T36" s="2">
        <f t="shared" ca="1" si="10"/>
        <v>268405.93447262415</v>
      </c>
      <c r="U36" s="2">
        <f t="shared" ca="1" si="10"/>
        <v>0</v>
      </c>
      <c r="V36" s="2">
        <f t="shared" ca="1" si="10"/>
        <v>0</v>
      </c>
      <c r="W36" s="2">
        <f t="shared" ca="1" si="10"/>
        <v>489316.53619390458</v>
      </c>
      <c r="X36" s="2">
        <f t="shared" ca="1" si="10"/>
        <v>0</v>
      </c>
      <c r="Y36" s="2">
        <f t="shared" ca="1" si="10"/>
        <v>0</v>
      </c>
      <c r="Z36" s="2">
        <f t="shared" ca="1" si="10"/>
        <v>339901.04439600348</v>
      </c>
      <c r="AA36" s="2">
        <f t="shared" ca="1" si="10"/>
        <v>0</v>
      </c>
      <c r="AB36" s="2">
        <f t="shared" ca="1" si="10"/>
        <v>0</v>
      </c>
      <c r="AC36" s="2">
        <f t="shared" ca="1" si="10"/>
        <v>36341.766717129693</v>
      </c>
      <c r="AD36" s="2">
        <f t="shared" ca="1" si="10"/>
        <v>0</v>
      </c>
      <c r="AE36" s="2">
        <f t="shared" ca="1" si="10"/>
        <v>0</v>
      </c>
      <c r="AF36" s="2">
        <f t="shared" ca="1" si="10"/>
        <v>289035.40115353878</v>
      </c>
      <c r="AG36" s="2">
        <f t="shared" ca="1" si="10"/>
        <v>0</v>
      </c>
      <c r="AH36" s="2">
        <f t="shared" ca="1" si="10"/>
        <v>0</v>
      </c>
      <c r="AI36" s="2">
        <f t="shared" ca="1" si="10"/>
        <v>764539.52380783099</v>
      </c>
      <c r="AJ36" s="2">
        <f t="shared" ca="1" si="10"/>
        <v>0</v>
      </c>
      <c r="AK36" s="2">
        <f t="shared" ca="1" si="10"/>
        <v>0</v>
      </c>
      <c r="AL36" s="2">
        <f t="shared" ca="1" si="10"/>
        <v>728267.19340472692</v>
      </c>
      <c r="AM36" s="2">
        <f t="shared" ca="1" si="10"/>
        <v>0</v>
      </c>
      <c r="AN36" s="2">
        <f t="shared" ca="1" si="10"/>
        <v>0</v>
      </c>
      <c r="AO36" s="2">
        <f t="shared" ca="1" si="10"/>
        <v>382940.87802171911</v>
      </c>
      <c r="AP36" s="2">
        <f t="shared" ca="1" si="10"/>
        <v>0</v>
      </c>
      <c r="AQ36" s="2">
        <f t="shared" ca="1" si="10"/>
        <v>0</v>
      </c>
      <c r="AR36" s="2">
        <f t="shared" ca="1" si="10"/>
        <v>727082.70457110065</v>
      </c>
      <c r="AS36" s="2">
        <f t="shared" ca="1" si="10"/>
        <v>0</v>
      </c>
      <c r="AT36" s="2">
        <f t="shared" ca="1" si="10"/>
        <v>0</v>
      </c>
      <c r="AU36" s="2">
        <f t="shared" ca="1" si="10"/>
        <v>1325909.5156905523</v>
      </c>
      <c r="AV36" s="2">
        <f t="shared" ca="1" si="10"/>
        <v>0</v>
      </c>
      <c r="AW36" s="2">
        <f t="shared" ca="1" si="10"/>
        <v>0</v>
      </c>
      <c r="AX36" s="2">
        <f t="shared" ca="1" si="10"/>
        <v>1775240.8581337868</v>
      </c>
      <c r="AY36" s="2">
        <f t="shared" ca="1" si="10"/>
        <v>0</v>
      </c>
      <c r="AZ36" s="2">
        <f t="shared" ca="1" si="10"/>
        <v>0</v>
      </c>
      <c r="BA36" s="2">
        <f t="shared" ca="1" si="10"/>
        <v>2076538.3232583986</v>
      </c>
      <c r="BB36" s="2">
        <f t="shared" ca="1" si="10"/>
        <v>0</v>
      </c>
      <c r="BC36" s="2">
        <f t="shared" ca="1" si="10"/>
        <v>0</v>
      </c>
      <c r="BD36" s="2">
        <f t="shared" ca="1" si="10"/>
        <v>2482045.2235028557</v>
      </c>
      <c r="BE36" s="2">
        <f t="shared" ca="1" si="10"/>
        <v>0</v>
      </c>
      <c r="BF36" s="2">
        <f t="shared" ca="1" si="10"/>
        <v>0</v>
      </c>
      <c r="BG36" s="2">
        <f t="shared" ca="1" si="10"/>
        <v>3134868.2563836453</v>
      </c>
      <c r="BH36" s="2">
        <f t="shared" ca="1" si="10"/>
        <v>0</v>
      </c>
      <c r="BI36" s="2">
        <f t="shared" ca="1" si="10"/>
        <v>0</v>
      </c>
      <c r="BJ36" s="2">
        <f t="shared" ca="1" si="10"/>
        <v>3889916.6089735446</v>
      </c>
      <c r="BK36" s="2">
        <f t="shared" ca="1" si="10"/>
        <v>0</v>
      </c>
      <c r="BL36" s="2">
        <f t="shared" ca="1" si="10"/>
        <v>0</v>
      </c>
      <c r="BM36" s="2">
        <f t="shared" ca="1" si="10"/>
        <v>4457910.7972734896</v>
      </c>
      <c r="BN36" s="2">
        <f t="shared" ca="1" si="10"/>
        <v>0</v>
      </c>
      <c r="BO36" s="2">
        <f t="shared" ca="1" si="10"/>
        <v>0</v>
      </c>
      <c r="BP36" s="2">
        <f t="shared" ca="1" si="10"/>
        <v>5234337.1600900143</v>
      </c>
      <c r="BQ36" s="2">
        <f t="shared" ca="1" si="10"/>
        <v>0</v>
      </c>
    </row>
    <row r="37" spans="1:69" outlineLevel="1">
      <c r="E37" s="47" t="s">
        <v>270</v>
      </c>
      <c r="G37" s="47" t="s">
        <v>258</v>
      </c>
      <c r="H37" s="2">
        <f t="shared" ref="H37:H38" ca="1" si="11" xml:space="preserve"> SUM( J37:BQ37 )</f>
        <v>28434306.505756866</v>
      </c>
      <c r="J37" s="2">
        <f ca="1" xml:space="preserve">  IF( Time!J28 &lt; 1 + $F35, 0, OFFSET( J36, 0, - 1 * ( $F35 ) ) )</f>
        <v>0</v>
      </c>
      <c r="K37" s="2">
        <f ca="1" xml:space="preserve">  IF( Time!K28 &lt; 1 + $F35, 0, OFFSET( K36, 0, - 1 * ( $F35 ) ) )</f>
        <v>0</v>
      </c>
      <c r="L37" s="2">
        <f ca="1" xml:space="preserve">  IF( Time!L28 &lt; 1 + $F35, 0, OFFSET( L36, 0, - 1 * ( $F35 ) ) )</f>
        <v>16920</v>
      </c>
      <c r="M37" s="2">
        <f ca="1" xml:space="preserve">  IF( Time!M28 &lt; 1 + $F35, 0, OFFSET( M36, 0, - 1 * ( $F35 ) ) )</f>
        <v>0</v>
      </c>
      <c r="N37" s="2">
        <f ca="1" xml:space="preserve">  IF( Time!N28 &lt; 1 + $F35, 0, OFFSET( N36, 0, - 1 * ( $F35 ) ) )</f>
        <v>0</v>
      </c>
      <c r="O37" s="2">
        <f ca="1" xml:space="preserve">  IF( Time!O28 &lt; 1 + $F35, 0, OFFSET( O36, 0, - 1 * ( $F35 ) ) )</f>
        <v>-144518.82846648438</v>
      </c>
      <c r="P37" s="2">
        <f ca="1" xml:space="preserve">  IF( Time!P28 &lt; 1 + $F35, 0, OFFSET( P36, 0, - 1 * ( $F35 ) ) )</f>
        <v>0</v>
      </c>
      <c r="Q37" s="2">
        <f ca="1" xml:space="preserve">  IF( Time!Q28 &lt; 1 + $F35, 0, OFFSET( Q36, 0, - 1 * ( $F35 ) ) )</f>
        <v>0</v>
      </c>
      <c r="R37" s="2">
        <f ca="1" xml:space="preserve">  IF( Time!R28 &lt; 1 + $F35, 0, OFFSET( R36, 0, - 1 * ( $F35 ) ) )</f>
        <v>159307.60817848417</v>
      </c>
      <c r="S37" s="2">
        <f ca="1" xml:space="preserve">  IF( Time!S28 &lt; 1 + $F35, 0, OFFSET( S36, 0, - 1 * ( $F35 ) ) )</f>
        <v>0</v>
      </c>
      <c r="T37" s="2">
        <f ca="1" xml:space="preserve">  IF( Time!T28 &lt; 1 + $F35, 0, OFFSET( T36, 0, - 1 * ( $F35 ) ) )</f>
        <v>0</v>
      </c>
      <c r="U37" s="2">
        <f ca="1" xml:space="preserve">  IF( Time!U28 &lt; 1 + $F35, 0, OFFSET( U36, 0, - 1 * ( $F35 ) ) )</f>
        <v>268405.93447262415</v>
      </c>
      <c r="V37" s="2">
        <f ca="1" xml:space="preserve">  IF( Time!V28 &lt; 1 + $F35, 0, OFFSET( V36, 0, - 1 * ( $F35 ) ) )</f>
        <v>0</v>
      </c>
      <c r="W37" s="2">
        <f ca="1" xml:space="preserve">  IF( Time!W28 &lt; 1 + $F35, 0, OFFSET( W36, 0, - 1 * ( $F35 ) ) )</f>
        <v>0</v>
      </c>
      <c r="X37" s="2">
        <f ca="1" xml:space="preserve">  IF( Time!X28 &lt; 1 + $F35, 0, OFFSET( X36, 0, - 1 * ( $F35 ) ) )</f>
        <v>489316.53619390458</v>
      </c>
      <c r="Y37" s="2">
        <f ca="1" xml:space="preserve">  IF( Time!Y28 &lt; 1 + $F35, 0, OFFSET( Y36, 0, - 1 * ( $F35 ) ) )</f>
        <v>0</v>
      </c>
      <c r="Z37" s="2">
        <f ca="1" xml:space="preserve">  IF( Time!Z28 &lt; 1 + $F35, 0, OFFSET( Z36, 0, - 1 * ( $F35 ) ) )</f>
        <v>0</v>
      </c>
      <c r="AA37" s="2">
        <f ca="1" xml:space="preserve">  IF( Time!AA28 &lt; 1 + $F35, 0, OFFSET( AA36, 0, - 1 * ( $F35 ) ) )</f>
        <v>339901.04439600348</v>
      </c>
      <c r="AB37" s="2">
        <f ca="1" xml:space="preserve">  IF( Time!AB28 &lt; 1 + $F35, 0, OFFSET( AB36, 0, - 1 * ( $F35 ) ) )</f>
        <v>0</v>
      </c>
      <c r="AC37" s="2">
        <f ca="1" xml:space="preserve">  IF( Time!AC28 &lt; 1 + $F35, 0, OFFSET( AC36, 0, - 1 * ( $F35 ) ) )</f>
        <v>0</v>
      </c>
      <c r="AD37" s="2">
        <f ca="1" xml:space="preserve">  IF( Time!AD28 &lt; 1 + $F35, 0, OFFSET( AD36, 0, - 1 * ( $F35 ) ) )</f>
        <v>36341.766717129693</v>
      </c>
      <c r="AE37" s="2">
        <f ca="1" xml:space="preserve">  IF( Time!AE28 &lt; 1 + $F35, 0, OFFSET( AE36, 0, - 1 * ( $F35 ) ) )</f>
        <v>0</v>
      </c>
      <c r="AF37" s="2">
        <f ca="1" xml:space="preserve">  IF( Time!AF28 &lt; 1 + $F35, 0, OFFSET( AF36, 0, - 1 * ( $F35 ) ) )</f>
        <v>0</v>
      </c>
      <c r="AG37" s="2">
        <f ca="1" xml:space="preserve">  IF( Time!AG28 &lt; 1 + $F35, 0, OFFSET( AG36, 0, - 1 * ( $F35 ) ) )</f>
        <v>289035.40115353878</v>
      </c>
      <c r="AH37" s="2">
        <f ca="1" xml:space="preserve">  IF( Time!AH28 &lt; 1 + $F35, 0, OFFSET( AH36, 0, - 1 * ( $F35 ) ) )</f>
        <v>0</v>
      </c>
      <c r="AI37" s="2">
        <f ca="1" xml:space="preserve">  IF( Time!AI28 &lt; 1 + $F35, 0, OFFSET( AI36, 0, - 1 * ( $F35 ) ) )</f>
        <v>0</v>
      </c>
      <c r="AJ37" s="2">
        <f ca="1" xml:space="preserve">  IF( Time!AJ28 &lt; 1 + $F35, 0, OFFSET( AJ36, 0, - 1 * ( $F35 ) ) )</f>
        <v>764539.52380783099</v>
      </c>
      <c r="AK37" s="2">
        <f ca="1" xml:space="preserve">  IF( Time!AK28 &lt; 1 + $F35, 0, OFFSET( AK36, 0, - 1 * ( $F35 ) ) )</f>
        <v>0</v>
      </c>
      <c r="AL37" s="2">
        <f ca="1" xml:space="preserve">  IF( Time!AL28 &lt; 1 + $F35, 0, OFFSET( AL36, 0, - 1 * ( $F35 ) ) )</f>
        <v>0</v>
      </c>
      <c r="AM37" s="2">
        <f ca="1" xml:space="preserve">  IF( Time!AM28 &lt; 1 + $F35, 0, OFFSET( AM36, 0, - 1 * ( $F35 ) ) )</f>
        <v>728267.19340472692</v>
      </c>
      <c r="AN37" s="2">
        <f ca="1" xml:space="preserve">  IF( Time!AN28 &lt; 1 + $F35, 0, OFFSET( AN36, 0, - 1 * ( $F35 ) ) )</f>
        <v>0</v>
      </c>
      <c r="AO37" s="2">
        <f ca="1" xml:space="preserve">  IF( Time!AO28 &lt; 1 + $F35, 0, OFFSET( AO36, 0, - 1 * ( $F35 ) ) )</f>
        <v>0</v>
      </c>
      <c r="AP37" s="2">
        <f ca="1" xml:space="preserve">  IF( Time!AP28 &lt; 1 + $F35, 0, OFFSET( AP36, 0, - 1 * ( $F35 ) ) )</f>
        <v>382940.87802171911</v>
      </c>
      <c r="AQ37" s="2">
        <f ca="1" xml:space="preserve">  IF( Time!AQ28 &lt; 1 + $F35, 0, OFFSET( AQ36, 0, - 1 * ( $F35 ) ) )</f>
        <v>0</v>
      </c>
      <c r="AR37" s="2">
        <f ca="1" xml:space="preserve">  IF( Time!AR28 &lt; 1 + $F35, 0, OFFSET( AR36, 0, - 1 * ( $F35 ) ) )</f>
        <v>0</v>
      </c>
      <c r="AS37" s="2">
        <f ca="1" xml:space="preserve">  IF( Time!AS28 &lt; 1 + $F35, 0, OFFSET( AS36, 0, - 1 * ( $F35 ) ) )</f>
        <v>727082.70457110065</v>
      </c>
      <c r="AT37" s="2">
        <f ca="1" xml:space="preserve">  IF( Time!AT28 &lt; 1 + $F35, 0, OFFSET( AT36, 0, - 1 * ( $F35 ) ) )</f>
        <v>0</v>
      </c>
      <c r="AU37" s="2">
        <f ca="1" xml:space="preserve">  IF( Time!AU28 &lt; 1 + $F35, 0, OFFSET( AU36, 0, - 1 * ( $F35 ) ) )</f>
        <v>0</v>
      </c>
      <c r="AV37" s="2">
        <f ca="1" xml:space="preserve">  IF( Time!AV28 &lt; 1 + $F35, 0, OFFSET( AV36, 0, - 1 * ( $F35 ) ) )</f>
        <v>1325909.5156905523</v>
      </c>
      <c r="AW37" s="2">
        <f ca="1" xml:space="preserve">  IF( Time!AW28 &lt; 1 + $F35, 0, OFFSET( AW36, 0, - 1 * ( $F35 ) ) )</f>
        <v>0</v>
      </c>
      <c r="AX37" s="2">
        <f ca="1" xml:space="preserve">  IF( Time!AX28 &lt; 1 + $F35, 0, OFFSET( AX36, 0, - 1 * ( $F35 ) ) )</f>
        <v>0</v>
      </c>
      <c r="AY37" s="2">
        <f ca="1" xml:space="preserve">  IF( Time!AY28 &lt; 1 + $F35, 0, OFFSET( AY36, 0, - 1 * ( $F35 ) ) )</f>
        <v>1775240.8581337868</v>
      </c>
      <c r="AZ37" s="2">
        <f ca="1" xml:space="preserve">  IF( Time!AZ28 &lt; 1 + $F35, 0, OFFSET( AZ36, 0, - 1 * ( $F35 ) ) )</f>
        <v>0</v>
      </c>
      <c r="BA37" s="2">
        <f ca="1" xml:space="preserve">  IF( Time!BA28 &lt; 1 + $F35, 0, OFFSET( BA36, 0, - 1 * ( $F35 ) ) )</f>
        <v>0</v>
      </c>
      <c r="BB37" s="2">
        <f ca="1" xml:space="preserve">  IF( Time!BB28 &lt; 1 + $F35, 0, OFFSET( BB36, 0, - 1 * ( $F35 ) ) )</f>
        <v>2076538.3232583986</v>
      </c>
      <c r="BC37" s="2">
        <f ca="1" xml:space="preserve">  IF( Time!BC28 &lt; 1 + $F35, 0, OFFSET( BC36, 0, - 1 * ( $F35 ) ) )</f>
        <v>0</v>
      </c>
      <c r="BD37" s="2">
        <f ca="1" xml:space="preserve">  IF( Time!BD28 &lt; 1 + $F35, 0, OFFSET( BD36, 0, - 1 * ( $F35 ) ) )</f>
        <v>0</v>
      </c>
      <c r="BE37" s="2">
        <f ca="1" xml:space="preserve">  IF( Time!BE28 &lt; 1 + $F35, 0, OFFSET( BE36, 0, - 1 * ( $F35 ) ) )</f>
        <v>2482045.2235028557</v>
      </c>
      <c r="BF37" s="2">
        <f ca="1" xml:space="preserve">  IF( Time!BF28 &lt; 1 + $F35, 0, OFFSET( BF36, 0, - 1 * ( $F35 ) ) )</f>
        <v>0</v>
      </c>
      <c r="BG37" s="2">
        <f ca="1" xml:space="preserve">  IF( Time!BG28 &lt; 1 + $F35, 0, OFFSET( BG36, 0, - 1 * ( $F35 ) ) )</f>
        <v>0</v>
      </c>
      <c r="BH37" s="2">
        <f ca="1" xml:space="preserve">  IF( Time!BH28 &lt; 1 + $F35, 0, OFFSET( BH36, 0, - 1 * ( $F35 ) ) )</f>
        <v>3134868.2563836453</v>
      </c>
      <c r="BI37" s="2">
        <f ca="1" xml:space="preserve">  IF( Time!BI28 &lt; 1 + $F35, 0, OFFSET( BI36, 0, - 1 * ( $F35 ) ) )</f>
        <v>0</v>
      </c>
      <c r="BJ37" s="2">
        <f ca="1" xml:space="preserve">  IF( Time!BJ28 &lt; 1 + $F35, 0, OFFSET( BJ36, 0, - 1 * ( $F35 ) ) )</f>
        <v>0</v>
      </c>
      <c r="BK37" s="2">
        <f ca="1" xml:space="preserve">  IF( Time!BK28 &lt; 1 + $F35, 0, OFFSET( BK36, 0, - 1 * ( $F35 ) ) )</f>
        <v>3889916.6089735446</v>
      </c>
      <c r="BL37" s="2">
        <f ca="1" xml:space="preserve">  IF( Time!BL28 &lt; 1 + $F35, 0, OFFSET( BL36, 0, - 1 * ( $F35 ) ) )</f>
        <v>0</v>
      </c>
      <c r="BM37" s="2">
        <f ca="1" xml:space="preserve">  IF( Time!BM28 &lt; 1 + $F35, 0, OFFSET( BM36, 0, - 1 * ( $F35 ) ) )</f>
        <v>0</v>
      </c>
      <c r="BN37" s="2">
        <f ca="1" xml:space="preserve">  IF( Time!BN28 &lt; 1 + $F35, 0, OFFSET( BN36, 0, - 1 * ( $F35 ) ) )</f>
        <v>4457910.7972734896</v>
      </c>
      <c r="BO37" s="2">
        <f ca="1" xml:space="preserve">  IF( Time!BO28 &lt; 1 + $F35, 0, OFFSET( BO36, 0, - 1 * ( $F35 ) ) )</f>
        <v>0</v>
      </c>
      <c r="BP37" s="2">
        <f ca="1" xml:space="preserve">  IF( Time!BP28 &lt; 1 + $F35, 0, OFFSET( BP36, 0, - 1 * ( $F35 ) ) )</f>
        <v>0</v>
      </c>
      <c r="BQ37" s="2">
        <f ca="1" xml:space="preserve">  IF( Time!BQ28 &lt; 1 + $F35, 0, OFFSET( BQ36, 0, - 1 * ( $F35 ) ) )</f>
        <v>5234337.1600900143</v>
      </c>
    </row>
    <row r="38" spans="1:69" outlineLevel="1">
      <c r="A38" s="34"/>
      <c r="B38" s="34"/>
      <c r="C38" s="64"/>
      <c r="D38" s="65"/>
      <c r="E38" s="21" t="str">
        <f xml:space="preserve"> LEFT($E$37, LEN($E$37) - 3 )</f>
        <v xml:space="preserve">VAT paid </v>
      </c>
      <c r="F38" s="21"/>
      <c r="G38" s="21" t="str">
        <f xml:space="preserve"> G$37</f>
        <v>GBP</v>
      </c>
      <c r="H38" s="3">
        <f t="shared" ca="1" si="11"/>
        <v>-28434306.505756866</v>
      </c>
      <c r="I38" s="21"/>
      <c r="J38" s="3">
        <f t="shared" ref="J38:BQ38" ca="1" si="12" xml:space="preserve"> -1 * J37</f>
        <v>0</v>
      </c>
      <c r="K38" s="3">
        <f t="shared" ca="1" si="12"/>
        <v>0</v>
      </c>
      <c r="L38" s="3">
        <f t="shared" ca="1" si="12"/>
        <v>-16920</v>
      </c>
      <c r="M38" s="3">
        <f t="shared" ca="1" si="12"/>
        <v>0</v>
      </c>
      <c r="N38" s="3">
        <f t="shared" ca="1" si="12"/>
        <v>0</v>
      </c>
      <c r="O38" s="3">
        <f t="shared" ca="1" si="12"/>
        <v>144518.82846648438</v>
      </c>
      <c r="P38" s="3">
        <f t="shared" ca="1" si="12"/>
        <v>0</v>
      </c>
      <c r="Q38" s="3">
        <f t="shared" ca="1" si="12"/>
        <v>0</v>
      </c>
      <c r="R38" s="3">
        <f t="shared" ca="1" si="12"/>
        <v>-159307.60817848417</v>
      </c>
      <c r="S38" s="3">
        <f t="shared" ca="1" si="12"/>
        <v>0</v>
      </c>
      <c r="T38" s="3">
        <f t="shared" ca="1" si="12"/>
        <v>0</v>
      </c>
      <c r="U38" s="3">
        <f t="shared" ca="1" si="12"/>
        <v>-268405.93447262415</v>
      </c>
      <c r="V38" s="3">
        <f t="shared" ca="1" si="12"/>
        <v>0</v>
      </c>
      <c r="W38" s="3">
        <f t="shared" ca="1" si="12"/>
        <v>0</v>
      </c>
      <c r="X38" s="3">
        <f t="shared" ca="1" si="12"/>
        <v>-489316.53619390458</v>
      </c>
      <c r="Y38" s="3">
        <f t="shared" ca="1" si="12"/>
        <v>0</v>
      </c>
      <c r="Z38" s="3">
        <f t="shared" ca="1" si="12"/>
        <v>0</v>
      </c>
      <c r="AA38" s="3">
        <f t="shared" ca="1" si="12"/>
        <v>-339901.04439600348</v>
      </c>
      <c r="AB38" s="3">
        <f t="shared" ca="1" si="12"/>
        <v>0</v>
      </c>
      <c r="AC38" s="3">
        <f t="shared" ca="1" si="12"/>
        <v>0</v>
      </c>
      <c r="AD38" s="3">
        <f t="shared" ca="1" si="12"/>
        <v>-36341.766717129693</v>
      </c>
      <c r="AE38" s="3">
        <f t="shared" ca="1" si="12"/>
        <v>0</v>
      </c>
      <c r="AF38" s="3">
        <f t="shared" ca="1" si="12"/>
        <v>0</v>
      </c>
      <c r="AG38" s="3">
        <f t="shared" ca="1" si="12"/>
        <v>-289035.40115353878</v>
      </c>
      <c r="AH38" s="3">
        <f t="shared" ca="1" si="12"/>
        <v>0</v>
      </c>
      <c r="AI38" s="3">
        <f t="shared" ca="1" si="12"/>
        <v>0</v>
      </c>
      <c r="AJ38" s="3">
        <f t="shared" ca="1" si="12"/>
        <v>-764539.52380783099</v>
      </c>
      <c r="AK38" s="3">
        <f t="shared" ca="1" si="12"/>
        <v>0</v>
      </c>
      <c r="AL38" s="3">
        <f t="shared" ca="1" si="12"/>
        <v>0</v>
      </c>
      <c r="AM38" s="3">
        <f t="shared" ca="1" si="12"/>
        <v>-728267.19340472692</v>
      </c>
      <c r="AN38" s="3">
        <f t="shared" ca="1" si="12"/>
        <v>0</v>
      </c>
      <c r="AO38" s="3">
        <f t="shared" ca="1" si="12"/>
        <v>0</v>
      </c>
      <c r="AP38" s="3">
        <f t="shared" ca="1" si="12"/>
        <v>-382940.87802171911</v>
      </c>
      <c r="AQ38" s="3">
        <f t="shared" ca="1" si="12"/>
        <v>0</v>
      </c>
      <c r="AR38" s="3">
        <f t="shared" ca="1" si="12"/>
        <v>0</v>
      </c>
      <c r="AS38" s="3">
        <f t="shared" ca="1" si="12"/>
        <v>-727082.70457110065</v>
      </c>
      <c r="AT38" s="3">
        <f t="shared" ca="1" si="12"/>
        <v>0</v>
      </c>
      <c r="AU38" s="3">
        <f t="shared" ca="1" si="12"/>
        <v>0</v>
      </c>
      <c r="AV38" s="3">
        <f t="shared" ca="1" si="12"/>
        <v>-1325909.5156905523</v>
      </c>
      <c r="AW38" s="3">
        <f t="shared" ca="1" si="12"/>
        <v>0</v>
      </c>
      <c r="AX38" s="3">
        <f t="shared" ca="1" si="12"/>
        <v>0</v>
      </c>
      <c r="AY38" s="3">
        <f t="shared" ca="1" si="12"/>
        <v>-1775240.8581337868</v>
      </c>
      <c r="AZ38" s="3">
        <f t="shared" ca="1" si="12"/>
        <v>0</v>
      </c>
      <c r="BA38" s="3">
        <f t="shared" ca="1" si="12"/>
        <v>0</v>
      </c>
      <c r="BB38" s="3">
        <f t="shared" ca="1" si="12"/>
        <v>-2076538.3232583986</v>
      </c>
      <c r="BC38" s="3">
        <f t="shared" ca="1" si="12"/>
        <v>0</v>
      </c>
      <c r="BD38" s="3">
        <f t="shared" ca="1" si="12"/>
        <v>0</v>
      </c>
      <c r="BE38" s="3">
        <f t="shared" ca="1" si="12"/>
        <v>-2482045.2235028557</v>
      </c>
      <c r="BF38" s="3">
        <f t="shared" ca="1" si="12"/>
        <v>0</v>
      </c>
      <c r="BG38" s="3">
        <f t="shared" ca="1" si="12"/>
        <v>0</v>
      </c>
      <c r="BH38" s="3">
        <f t="shared" ca="1" si="12"/>
        <v>-3134868.2563836453</v>
      </c>
      <c r="BI38" s="3">
        <f t="shared" ca="1" si="12"/>
        <v>0</v>
      </c>
      <c r="BJ38" s="3">
        <f t="shared" ca="1" si="12"/>
        <v>0</v>
      </c>
      <c r="BK38" s="3">
        <f t="shared" ca="1" si="12"/>
        <v>-3889916.6089735446</v>
      </c>
      <c r="BL38" s="3">
        <f t="shared" ca="1" si="12"/>
        <v>0</v>
      </c>
      <c r="BM38" s="3">
        <f t="shared" ca="1" si="12"/>
        <v>0</v>
      </c>
      <c r="BN38" s="3">
        <f t="shared" ca="1" si="12"/>
        <v>-4457910.7972734896</v>
      </c>
      <c r="BO38" s="3">
        <f t="shared" ca="1" si="12"/>
        <v>0</v>
      </c>
      <c r="BP38" s="3">
        <f t="shared" ca="1" si="12"/>
        <v>0</v>
      </c>
      <c r="BQ38" s="3">
        <f t="shared" ca="1" si="12"/>
        <v>-5234337.1600900143</v>
      </c>
    </row>
    <row r="41" spans="1:69">
      <c r="B41" s="25" t="s">
        <v>177</v>
      </c>
    </row>
    <row r="42" spans="1:69" outlineLevel="1">
      <c r="A42" s="18"/>
      <c r="B42" s="18"/>
      <c r="C42" s="28"/>
      <c r="D42" s="27"/>
      <c r="E42" s="4" t="str">
        <f xml:space="preserve">  InpC!E$86</f>
        <v>VAT payment delay in months</v>
      </c>
      <c r="F42" s="4">
        <f xml:space="preserve">  InpC!F$86</f>
        <v>1</v>
      </c>
      <c r="G42" s="4" t="str">
        <f xml:space="preserve">  InpC!G$86</f>
        <v>Months</v>
      </c>
      <c r="M42" s="2"/>
    </row>
    <row r="43" spans="1:69" outlineLevel="1">
      <c r="A43" s="18"/>
      <c r="B43" s="18"/>
      <c r="C43" s="28"/>
      <c r="D43" s="27"/>
      <c r="E43" s="4" t="str">
        <f xml:space="preserve">  InpC!E$99</f>
        <v>Months per period (Primary)</v>
      </c>
      <c r="F43" s="4">
        <f xml:space="preserve">  InpC!F$99</f>
        <v>1</v>
      </c>
      <c r="G43" s="4" t="str">
        <f xml:space="preserve">  InpC!G$99</f>
        <v>Months</v>
      </c>
      <c r="M43" s="2"/>
    </row>
    <row r="44" spans="1:69" outlineLevel="1">
      <c r="E44" s="47" t="s">
        <v>177</v>
      </c>
      <c r="F44" s="2">
        <f xml:space="preserve">  INT( $F42 / $F43 )</f>
        <v>1</v>
      </c>
      <c r="G44" s="47" t="s">
        <v>253</v>
      </c>
      <c r="M44" s="2"/>
    </row>
    <row r="47" spans="1:69">
      <c r="B47" s="25" t="s">
        <v>201</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-5940</v>
      </c>
      <c r="L48" s="2">
        <f t="shared" ca="1" si="13"/>
        <v>16920</v>
      </c>
      <c r="M48" s="2">
        <f t="shared" ca="1" si="13"/>
        <v>-47140</v>
      </c>
      <c r="N48" s="2">
        <f t="shared" ca="1" si="13"/>
        <v>-94389.414233242191</v>
      </c>
      <c r="O48" s="2">
        <f t="shared" ca="1" si="13"/>
        <v>-144518.82846648438</v>
      </c>
      <c r="P48" s="2">
        <f t="shared" ca="1" si="13"/>
        <v>48670.585766757809</v>
      </c>
      <c r="Q48" s="2">
        <f t="shared" ca="1" si="13"/>
        <v>84829.096972620988</v>
      </c>
      <c r="R48" s="2">
        <f t="shared" ca="1" si="13"/>
        <v>159307.60817848417</v>
      </c>
      <c r="S48" s="2">
        <f t="shared" ca="1" si="13"/>
        <v>4478.5112058631785</v>
      </c>
      <c r="T48" s="2">
        <f t="shared" ca="1" si="13"/>
        <v>-7557.7771607563336</v>
      </c>
      <c r="U48" s="2">
        <f t="shared" ca="1" si="13"/>
        <v>268405.93447262415</v>
      </c>
      <c r="V48" s="2">
        <f t="shared" ca="1" si="13"/>
        <v>-12036.288366619498</v>
      </c>
      <c r="W48" s="2">
        <f t="shared" ca="1" si="13"/>
        <v>263385.57735399355</v>
      </c>
      <c r="X48" s="2">
        <f t="shared" ca="1" si="13"/>
        <v>489316.53619390458</v>
      </c>
      <c r="Y48" s="2">
        <f t="shared" ca="1" si="13"/>
        <v>93125.02318424196</v>
      </c>
      <c r="Z48" s="2">
        <f t="shared" ca="1" si="13"/>
        <v>327825.78659019328</v>
      </c>
      <c r="AA48" s="2">
        <f t="shared" ca="1" si="13"/>
        <v>339901.04439600348</v>
      </c>
      <c r="AB48" s="2">
        <f t="shared" ca="1" si="13"/>
        <v>7346.8122114281286</v>
      </c>
      <c r="AC48" s="2">
        <f t="shared" ca="1" si="13"/>
        <v>36565.027774608374</v>
      </c>
      <c r="AD48" s="2">
        <f t="shared" ca="1" si="13"/>
        <v>36341.766717129693</v>
      </c>
      <c r="AE48" s="2">
        <f t="shared" ca="1" si="13"/>
        <v>34097.118137038851</v>
      </c>
      <c r="AF48" s="2">
        <f t="shared" ca="1" si="13"/>
        <v>-54052.316074013419</v>
      </c>
      <c r="AG48" s="2">
        <f t="shared" ca="1" si="13"/>
        <v>289035.40115353878</v>
      </c>
      <c r="AH48" s="2">
        <f t="shared" ca="1" si="13"/>
        <v>54279.507330168621</v>
      </c>
      <c r="AI48" s="2">
        <f t="shared" ca="1" si="13"/>
        <v>394281.76524357114</v>
      </c>
      <c r="AJ48" s="2">
        <f t="shared" ca="1" si="13"/>
        <v>764539.52380783099</v>
      </c>
      <c r="AK48" s="2">
        <f t="shared" ca="1" si="13"/>
        <v>271971.25842839864</v>
      </c>
      <c r="AL48" s="2">
        <f t="shared" ca="1" si="13"/>
        <v>540997.68641202385</v>
      </c>
      <c r="AM48" s="2">
        <f t="shared" ca="1" si="13"/>
        <v>728267.19340472692</v>
      </c>
      <c r="AN48" s="2">
        <f t="shared" ca="1" si="13"/>
        <v>153169.57069925894</v>
      </c>
      <c r="AO48" s="2">
        <f t="shared" ca="1" si="13"/>
        <v>269992.70098114794</v>
      </c>
      <c r="AP48" s="2">
        <f t="shared" ca="1" si="13"/>
        <v>382940.87802171911</v>
      </c>
      <c r="AQ48" s="2">
        <f t="shared" ca="1" si="13"/>
        <v>255588.93542960618</v>
      </c>
      <c r="AR48" s="2">
        <f t="shared" ca="1" si="13"/>
        <v>330598.66856174887</v>
      </c>
      <c r="AS48" s="2">
        <f t="shared" ca="1" si="13"/>
        <v>727082.70457110065</v>
      </c>
      <c r="AT48" s="2">
        <f t="shared" ca="1" si="13"/>
        <v>359867.61621458433</v>
      </c>
      <c r="AU48" s="2">
        <f t="shared" ca="1" si="13"/>
        <v>682499.86750024767</v>
      </c>
      <c r="AV48" s="2">
        <f t="shared" ca="1" si="13"/>
        <v>1325909.5156905523</v>
      </c>
      <c r="AW48" s="2">
        <f t="shared" ca="1" si="13"/>
        <v>606054.88223736337</v>
      </c>
      <c r="AX48" s="2">
        <f t="shared" ca="1" si="13"/>
        <v>1065469.437892989</v>
      </c>
      <c r="AY48" s="2">
        <f t="shared" ca="1" si="13"/>
        <v>1775240.8581337868</v>
      </c>
      <c r="AZ48" s="2">
        <f t="shared" ca="1" si="13"/>
        <v>562971.11581539409</v>
      </c>
      <c r="BA48" s="2">
        <f t="shared" ca="1" si="13"/>
        <v>1266826.3372575107</v>
      </c>
      <c r="BB48" s="2">
        <f t="shared" ca="1" si="13"/>
        <v>2076538.3232583986</v>
      </c>
      <c r="BC48" s="2">
        <f t="shared" ca="1" si="13"/>
        <v>806381.84405402374</v>
      </c>
      <c r="BD48" s="2">
        <f t="shared" ca="1" si="13"/>
        <v>1574082.5127538587</v>
      </c>
      <c r="BE48" s="2">
        <f t="shared" ca="1" si="13"/>
        <v>2482045.2235028557</v>
      </c>
      <c r="BF48" s="2">
        <f t="shared" ca="1" si="13"/>
        <v>1013002.4822518174</v>
      </c>
      <c r="BG48" s="2">
        <f t="shared" ca="1" si="13"/>
        <v>2021657.9724130901</v>
      </c>
      <c r="BH48" s="2">
        <f t="shared" ca="1" si="13"/>
        <v>3134868.2563836453</v>
      </c>
      <c r="BI48" s="2">
        <f t="shared" ca="1" si="13"/>
        <v>1217500.7520646723</v>
      </c>
      <c r="BJ48" s="2">
        <f t="shared" ca="1" si="13"/>
        <v>2429851.8159339363</v>
      </c>
      <c r="BK48" s="2">
        <f t="shared" ca="1" si="13"/>
        <v>3889916.6089735446</v>
      </c>
      <c r="BL48" s="2">
        <f t="shared" ca="1" si="13"/>
        <v>1275464.1841888004</v>
      </c>
      <c r="BM48" s="2">
        <f t="shared" ca="1" si="13"/>
        <v>2797830.7261723732</v>
      </c>
      <c r="BN48" s="2">
        <f t="shared" ca="1" si="13"/>
        <v>4457910.7972734896</v>
      </c>
      <c r="BO48" s="2">
        <f t="shared" ca="1" si="13"/>
        <v>1583419.7872073874</v>
      </c>
      <c r="BP48" s="2">
        <f t="shared" ca="1" si="13"/>
        <v>3447616.4315995388</v>
      </c>
      <c r="BQ48" s="2">
        <f t="shared" ca="1" si="13"/>
        <v>5234337.1600900143</v>
      </c>
    </row>
    <row r="49" spans="1:69" outlineLevel="1">
      <c r="E49" s="2" t="str">
        <f t="shared" ref="E49:BQ49" si="14" xml:space="preserve">  E$23</f>
        <v>VAT due</v>
      </c>
      <c r="F49" s="2">
        <f t="shared" si="14"/>
        <v>0</v>
      </c>
      <c r="G49" s="2" t="str">
        <f t="shared" si="14"/>
        <v>GBP</v>
      </c>
      <c r="H49" s="2">
        <f t="shared" ca="1" si="14"/>
        <v>30501106.777252983</v>
      </c>
      <c r="I49" s="2">
        <f t="shared" si="14"/>
        <v>0</v>
      </c>
      <c r="J49" s="2">
        <f t="shared" ca="1" si="14"/>
        <v>-5940</v>
      </c>
      <c r="K49" s="2">
        <f t="shared" ca="1" si="14"/>
        <v>22860</v>
      </c>
      <c r="L49" s="2">
        <f t="shared" ca="1" si="14"/>
        <v>-47140</v>
      </c>
      <c r="M49" s="2">
        <f t="shared" ca="1" si="14"/>
        <v>-47249.414233242191</v>
      </c>
      <c r="N49" s="2">
        <f t="shared" ca="1" si="14"/>
        <v>-50129.414233242191</v>
      </c>
      <c r="O49" s="2">
        <f t="shared" ca="1" si="14"/>
        <v>48670.585766757809</v>
      </c>
      <c r="P49" s="2">
        <f t="shared" ca="1" si="14"/>
        <v>36158.511205863178</v>
      </c>
      <c r="Q49" s="2">
        <f t="shared" ca="1" si="14"/>
        <v>74478.511205863178</v>
      </c>
      <c r="R49" s="2">
        <f t="shared" ca="1" si="14"/>
        <v>4478.5112058631785</v>
      </c>
      <c r="S49" s="2">
        <f t="shared" ca="1" si="14"/>
        <v>-12036.288366619512</v>
      </c>
      <c r="T49" s="2">
        <f t="shared" ca="1" si="14"/>
        <v>275963.7116333805</v>
      </c>
      <c r="U49" s="2">
        <f t="shared" ca="1" si="14"/>
        <v>-12036.288366619512</v>
      </c>
      <c r="V49" s="2">
        <f t="shared" ca="1" si="14"/>
        <v>275421.86572061304</v>
      </c>
      <c r="W49" s="2">
        <f t="shared" ca="1" si="14"/>
        <v>225930.95883991104</v>
      </c>
      <c r="X49" s="2">
        <f t="shared" ca="1" si="14"/>
        <v>93125.023184241916</v>
      </c>
      <c r="Y49" s="2">
        <f t="shared" ca="1" si="14"/>
        <v>234700.76340595132</v>
      </c>
      <c r="Z49" s="2">
        <f t="shared" ca="1" si="14"/>
        <v>12075.257805810208</v>
      </c>
      <c r="AA49" s="2">
        <f t="shared" ca="1" si="14"/>
        <v>7346.8122114281359</v>
      </c>
      <c r="AB49" s="2">
        <f t="shared" ca="1" si="14"/>
        <v>29218.215563180245</v>
      </c>
      <c r="AC49" s="2">
        <f t="shared" ca="1" si="14"/>
        <v>-223.26105747868132</v>
      </c>
      <c r="AD49" s="2">
        <f t="shared" ca="1" si="14"/>
        <v>34097.118137038859</v>
      </c>
      <c r="AE49" s="2">
        <f t="shared" ca="1" si="14"/>
        <v>-88149.43421105227</v>
      </c>
      <c r="AF49" s="2">
        <f t="shared" ca="1" si="14"/>
        <v>343087.7172275522</v>
      </c>
      <c r="AG49" s="2">
        <f t="shared" ca="1" si="14"/>
        <v>54279.507330168621</v>
      </c>
      <c r="AH49" s="2">
        <f t="shared" ca="1" si="14"/>
        <v>340002.25791340251</v>
      </c>
      <c r="AI49" s="2">
        <f t="shared" ca="1" si="14"/>
        <v>370257.75856425986</v>
      </c>
      <c r="AJ49" s="2">
        <f t="shared" ca="1" si="14"/>
        <v>271971.25842839869</v>
      </c>
      <c r="AK49" s="2">
        <f t="shared" ca="1" si="14"/>
        <v>269026.42798362527</v>
      </c>
      <c r="AL49" s="2">
        <f t="shared" ca="1" si="14"/>
        <v>187269.50699270301</v>
      </c>
      <c r="AM49" s="2">
        <f t="shared" ca="1" si="14"/>
        <v>153169.57069925888</v>
      </c>
      <c r="AN49" s="2">
        <f t="shared" ca="1" si="14"/>
        <v>116823.13028188903</v>
      </c>
      <c r="AO49" s="2">
        <f t="shared" ca="1" si="14"/>
        <v>112948.17704057117</v>
      </c>
      <c r="AP49" s="2">
        <f t="shared" ca="1" si="14"/>
        <v>255588.93542960624</v>
      </c>
      <c r="AQ49" s="2">
        <f t="shared" ca="1" si="14"/>
        <v>75009.73313214269</v>
      </c>
      <c r="AR49" s="2">
        <f t="shared" ca="1" si="14"/>
        <v>396484.03600935172</v>
      </c>
      <c r="AS49" s="2">
        <f t="shared" ca="1" si="14"/>
        <v>359867.61621458444</v>
      </c>
      <c r="AT49" s="2">
        <f t="shared" ca="1" si="14"/>
        <v>322632.25128566334</v>
      </c>
      <c r="AU49" s="2">
        <f t="shared" ca="1" si="14"/>
        <v>643409.64819030464</v>
      </c>
      <c r="AV49" s="2">
        <f t="shared" ca="1" si="14"/>
        <v>606054.88223736326</v>
      </c>
      <c r="AW49" s="2">
        <f t="shared" ca="1" si="14"/>
        <v>459414.55565562559</v>
      </c>
      <c r="AX49" s="2">
        <f t="shared" ca="1" si="14"/>
        <v>709771.4202407978</v>
      </c>
      <c r="AY49" s="2">
        <f t="shared" ca="1" si="14"/>
        <v>562971.11581539386</v>
      </c>
      <c r="AZ49" s="2">
        <f t="shared" ca="1" si="14"/>
        <v>703855.22144211666</v>
      </c>
      <c r="BA49" s="2">
        <f t="shared" ca="1" si="14"/>
        <v>809711.98600088782</v>
      </c>
      <c r="BB49" s="2">
        <f t="shared" ca="1" si="14"/>
        <v>806381.84405402374</v>
      </c>
      <c r="BC49" s="2">
        <f t="shared" ca="1" si="14"/>
        <v>767700.66869983496</v>
      </c>
      <c r="BD49" s="2">
        <f t="shared" ca="1" si="14"/>
        <v>907962.71074899728</v>
      </c>
      <c r="BE49" s="2">
        <f t="shared" ca="1" si="14"/>
        <v>1013002.4822518174</v>
      </c>
      <c r="BF49" s="2">
        <f t="shared" ca="1" si="14"/>
        <v>1008655.4901612727</v>
      </c>
      <c r="BG49" s="2">
        <f t="shared" ca="1" si="14"/>
        <v>1113210.2839705553</v>
      </c>
      <c r="BH49" s="2">
        <f t="shared" ca="1" si="14"/>
        <v>1217500.7520646725</v>
      </c>
      <c r="BI49" s="2">
        <f t="shared" ca="1" si="14"/>
        <v>1212351.0638692637</v>
      </c>
      <c r="BJ49" s="2">
        <f t="shared" ca="1" si="14"/>
        <v>1460064.7930396083</v>
      </c>
      <c r="BK49" s="2">
        <f t="shared" ca="1" si="14"/>
        <v>1275464.1841888004</v>
      </c>
      <c r="BL49" s="2">
        <f t="shared" ca="1" si="14"/>
        <v>1522366.5419835728</v>
      </c>
      <c r="BM49" s="2">
        <f t="shared" ca="1" si="14"/>
        <v>1660080.0711011162</v>
      </c>
      <c r="BN49" s="2">
        <f t="shared" ca="1" si="14"/>
        <v>1583419.7872073874</v>
      </c>
      <c r="BO49" s="2">
        <f t="shared" ca="1" si="14"/>
        <v>1864196.6443921516</v>
      </c>
      <c r="BP49" s="2">
        <f t="shared" ca="1" si="14"/>
        <v>1786720.7284904756</v>
      </c>
      <c r="BQ49" s="2">
        <f t="shared" ca="1" si="14"/>
        <v>2066800.2714961162</v>
      </c>
    </row>
    <row r="50" spans="1:69" outlineLevel="1">
      <c r="A50" s="18"/>
      <c r="B50" s="18"/>
      <c r="C50" s="28"/>
      <c r="D50" s="27"/>
      <c r="E50" s="4" t="str">
        <f xml:space="preserve">  Time!E$260</f>
        <v>VAT return this period flag</v>
      </c>
      <c r="F50" s="4">
        <f xml:space="preserve">  Time!F$260</f>
        <v>0</v>
      </c>
      <c r="G50" s="4" t="str">
        <f xml:space="preserve">  Time!G$260</f>
        <v>flag</v>
      </c>
      <c r="H50" s="4">
        <f xml:space="preserve">  Time!H$260</f>
        <v>20</v>
      </c>
      <c r="I50" s="4">
        <f xml:space="preserve">  Time!I$260</f>
        <v>0</v>
      </c>
      <c r="J50" s="4">
        <f xml:space="preserve">  Time!J$260</f>
        <v>0</v>
      </c>
      <c r="K50" s="4">
        <f xml:space="preserve">  Time!K$260</f>
        <v>1</v>
      </c>
      <c r="L50" s="4">
        <f xml:space="preserve">  Time!L$260</f>
        <v>0</v>
      </c>
      <c r="M50" s="4">
        <f xml:space="preserve">  Time!M$260</f>
        <v>0</v>
      </c>
      <c r="N50" s="4">
        <f xml:space="preserve">  Time!N$260</f>
        <v>1</v>
      </c>
      <c r="O50" s="4">
        <f xml:space="preserve">  Time!O$260</f>
        <v>0</v>
      </c>
      <c r="P50" s="4">
        <f xml:space="preserve">  Time!P$260</f>
        <v>0</v>
      </c>
      <c r="Q50" s="4">
        <f xml:space="preserve">  Time!Q$260</f>
        <v>1</v>
      </c>
      <c r="R50" s="4">
        <f xml:space="preserve">  Time!R$260</f>
        <v>0</v>
      </c>
      <c r="S50" s="4">
        <f xml:space="preserve">  Time!S$260</f>
        <v>0</v>
      </c>
      <c r="T50" s="4">
        <f xml:space="preserve">  Time!T$260</f>
        <v>1</v>
      </c>
      <c r="U50" s="4">
        <f xml:space="preserve">  Time!U$260</f>
        <v>0</v>
      </c>
      <c r="V50" s="4">
        <f xml:space="preserve">  Time!V$260</f>
        <v>0</v>
      </c>
      <c r="W50" s="4">
        <f xml:space="preserve">  Time!W$260</f>
        <v>1</v>
      </c>
      <c r="X50" s="4">
        <f xml:space="preserve">  Time!X$260</f>
        <v>0</v>
      </c>
      <c r="Y50" s="4">
        <f xml:space="preserve">  Time!Y$260</f>
        <v>0</v>
      </c>
      <c r="Z50" s="4">
        <f xml:space="preserve">  Time!Z$260</f>
        <v>1</v>
      </c>
      <c r="AA50" s="4">
        <f xml:space="preserve">  Time!AA$260</f>
        <v>0</v>
      </c>
      <c r="AB50" s="4">
        <f xml:space="preserve">  Time!AB$260</f>
        <v>0</v>
      </c>
      <c r="AC50" s="4">
        <f xml:space="preserve">  Time!AC$260</f>
        <v>1</v>
      </c>
      <c r="AD50" s="4">
        <f xml:space="preserve">  Time!AD$260</f>
        <v>0</v>
      </c>
      <c r="AE50" s="4">
        <f xml:space="preserve">  Time!AE$260</f>
        <v>0</v>
      </c>
      <c r="AF50" s="4">
        <f xml:space="preserve">  Time!AF$260</f>
        <v>1</v>
      </c>
      <c r="AG50" s="4">
        <f xml:space="preserve">  Time!AG$260</f>
        <v>0</v>
      </c>
      <c r="AH50" s="4">
        <f xml:space="preserve">  Time!AH$260</f>
        <v>0</v>
      </c>
      <c r="AI50" s="4">
        <f xml:space="preserve">  Time!AI$260</f>
        <v>1</v>
      </c>
      <c r="AJ50" s="4">
        <f xml:space="preserve">  Time!AJ$260</f>
        <v>0</v>
      </c>
      <c r="AK50" s="4">
        <f xml:space="preserve">  Time!AK$260</f>
        <v>0</v>
      </c>
      <c r="AL50" s="4">
        <f xml:space="preserve">  Time!AL$260</f>
        <v>1</v>
      </c>
      <c r="AM50" s="4">
        <f xml:space="preserve">  Time!AM$260</f>
        <v>0</v>
      </c>
      <c r="AN50" s="4">
        <f xml:space="preserve">  Time!AN$260</f>
        <v>0</v>
      </c>
      <c r="AO50" s="4">
        <f xml:space="preserve">  Time!AO$260</f>
        <v>1</v>
      </c>
      <c r="AP50" s="4">
        <f xml:space="preserve">  Time!AP$260</f>
        <v>0</v>
      </c>
      <c r="AQ50" s="4">
        <f xml:space="preserve">  Time!AQ$260</f>
        <v>0</v>
      </c>
      <c r="AR50" s="4">
        <f xml:space="preserve">  Time!AR$260</f>
        <v>1</v>
      </c>
      <c r="AS50" s="4">
        <f xml:space="preserve">  Time!AS$260</f>
        <v>0</v>
      </c>
      <c r="AT50" s="4">
        <f xml:space="preserve">  Time!AT$260</f>
        <v>0</v>
      </c>
      <c r="AU50" s="4">
        <f xml:space="preserve">  Time!AU$260</f>
        <v>1</v>
      </c>
      <c r="AV50" s="4">
        <f xml:space="preserve">  Time!AV$260</f>
        <v>0</v>
      </c>
      <c r="AW50" s="4">
        <f xml:space="preserve">  Time!AW$260</f>
        <v>0</v>
      </c>
      <c r="AX50" s="4">
        <f xml:space="preserve">  Time!AX$260</f>
        <v>1</v>
      </c>
      <c r="AY50" s="4">
        <f xml:space="preserve">  Time!AY$260</f>
        <v>0</v>
      </c>
      <c r="AZ50" s="4">
        <f xml:space="preserve">  Time!AZ$260</f>
        <v>0</v>
      </c>
      <c r="BA50" s="4">
        <f xml:space="preserve">  Time!BA$260</f>
        <v>1</v>
      </c>
      <c r="BB50" s="4">
        <f xml:space="preserve">  Time!BB$260</f>
        <v>0</v>
      </c>
      <c r="BC50" s="4">
        <f xml:space="preserve">  Time!BC$260</f>
        <v>0</v>
      </c>
      <c r="BD50" s="4">
        <f xml:space="preserve">  Time!BD$260</f>
        <v>1</v>
      </c>
      <c r="BE50" s="4">
        <f xml:space="preserve">  Time!BE$260</f>
        <v>0</v>
      </c>
      <c r="BF50" s="4">
        <f xml:space="preserve">  Time!BF$260</f>
        <v>0</v>
      </c>
      <c r="BG50" s="4">
        <f xml:space="preserve">  Time!BG$260</f>
        <v>1</v>
      </c>
      <c r="BH50" s="4">
        <f xml:space="preserve">  Time!BH$260</f>
        <v>0</v>
      </c>
      <c r="BI50" s="4">
        <f xml:space="preserve">  Time!BI$260</f>
        <v>0</v>
      </c>
      <c r="BJ50" s="4">
        <f xml:space="preserve">  Time!BJ$260</f>
        <v>1</v>
      </c>
      <c r="BK50" s="4">
        <f xml:space="preserve">  Time!BK$260</f>
        <v>0</v>
      </c>
      <c r="BL50" s="4">
        <f xml:space="preserve">  Time!BL$260</f>
        <v>0</v>
      </c>
      <c r="BM50" s="4">
        <f xml:space="preserve">  Time!BM$260</f>
        <v>1</v>
      </c>
      <c r="BN50" s="4">
        <f xml:space="preserve">  Time!BN$260</f>
        <v>0</v>
      </c>
      <c r="BO50" s="4">
        <f xml:space="preserve">  Time!BO$260</f>
        <v>0</v>
      </c>
      <c r="BP50" s="4">
        <f xml:space="preserve">  Time!BP$260</f>
        <v>1</v>
      </c>
      <c r="BQ50" s="4">
        <f xml:space="preserve">  Time!BQ$260</f>
        <v>0</v>
      </c>
    </row>
    <row r="51" spans="1:69" outlineLevel="1">
      <c r="E51" s="47" t="s">
        <v>201</v>
      </c>
      <c r="G51" s="47" t="s">
        <v>258</v>
      </c>
      <c r="H51" s="2">
        <f ca="1" xml:space="preserve"> SUM( J51:BQ51 )</f>
        <v>28434306.505756866</v>
      </c>
      <c r="J51" s="2">
        <f t="shared" ref="J51:BQ51" ca="1" si="15" xml:space="preserve">  J50 * ( J48 + J49 )</f>
        <v>0</v>
      </c>
      <c r="K51" s="2">
        <f t="shared" ca="1" si="15"/>
        <v>16920</v>
      </c>
      <c r="L51" s="2">
        <f t="shared" ca="1" si="15"/>
        <v>0</v>
      </c>
      <c r="M51" s="2">
        <f t="shared" ca="1" si="15"/>
        <v>0</v>
      </c>
      <c r="N51" s="2">
        <f t="shared" ca="1" si="15"/>
        <v>-144518.82846648438</v>
      </c>
      <c r="O51" s="2">
        <f t="shared" ca="1" si="15"/>
        <v>0</v>
      </c>
      <c r="P51" s="2">
        <f t="shared" ca="1" si="15"/>
        <v>0</v>
      </c>
      <c r="Q51" s="2">
        <f t="shared" ca="1" si="15"/>
        <v>159307.60817848417</v>
      </c>
      <c r="R51" s="2">
        <f t="shared" ca="1" si="15"/>
        <v>0</v>
      </c>
      <c r="S51" s="2">
        <f t="shared" ca="1" si="15"/>
        <v>0</v>
      </c>
      <c r="T51" s="2">
        <f t="shared" ca="1" si="15"/>
        <v>268405.93447262415</v>
      </c>
      <c r="U51" s="2">
        <f t="shared" ca="1" si="15"/>
        <v>0</v>
      </c>
      <c r="V51" s="2">
        <f t="shared" ca="1" si="15"/>
        <v>0</v>
      </c>
      <c r="W51" s="2">
        <f t="shared" ca="1" si="15"/>
        <v>489316.53619390458</v>
      </c>
      <c r="X51" s="2">
        <f t="shared" ca="1" si="15"/>
        <v>0</v>
      </c>
      <c r="Y51" s="2">
        <f t="shared" ca="1" si="15"/>
        <v>0</v>
      </c>
      <c r="Z51" s="2">
        <f t="shared" ca="1" si="15"/>
        <v>339901.04439600348</v>
      </c>
      <c r="AA51" s="2">
        <f t="shared" ca="1" si="15"/>
        <v>0</v>
      </c>
      <c r="AB51" s="2">
        <f t="shared" ca="1" si="15"/>
        <v>0</v>
      </c>
      <c r="AC51" s="2">
        <f t="shared" ca="1" si="15"/>
        <v>36341.766717129693</v>
      </c>
      <c r="AD51" s="2">
        <f t="shared" ca="1" si="15"/>
        <v>0</v>
      </c>
      <c r="AE51" s="2">
        <f t="shared" ca="1" si="15"/>
        <v>0</v>
      </c>
      <c r="AF51" s="2">
        <f t="shared" ca="1" si="15"/>
        <v>289035.40115353878</v>
      </c>
      <c r="AG51" s="2">
        <f t="shared" ca="1" si="15"/>
        <v>0</v>
      </c>
      <c r="AH51" s="2">
        <f t="shared" ca="1" si="15"/>
        <v>0</v>
      </c>
      <c r="AI51" s="2">
        <f t="shared" ca="1" si="15"/>
        <v>764539.52380783099</v>
      </c>
      <c r="AJ51" s="2">
        <f t="shared" ca="1" si="15"/>
        <v>0</v>
      </c>
      <c r="AK51" s="2">
        <f t="shared" ca="1" si="15"/>
        <v>0</v>
      </c>
      <c r="AL51" s="2">
        <f t="shared" ca="1" si="15"/>
        <v>728267.19340472692</v>
      </c>
      <c r="AM51" s="2">
        <f t="shared" ca="1" si="15"/>
        <v>0</v>
      </c>
      <c r="AN51" s="2">
        <f t="shared" ca="1" si="15"/>
        <v>0</v>
      </c>
      <c r="AO51" s="2">
        <f t="shared" ca="1" si="15"/>
        <v>382940.87802171911</v>
      </c>
      <c r="AP51" s="2">
        <f t="shared" ca="1" si="15"/>
        <v>0</v>
      </c>
      <c r="AQ51" s="2">
        <f t="shared" ca="1" si="15"/>
        <v>0</v>
      </c>
      <c r="AR51" s="2">
        <f t="shared" ca="1" si="15"/>
        <v>727082.70457110065</v>
      </c>
      <c r="AS51" s="2">
        <f t="shared" ca="1" si="15"/>
        <v>0</v>
      </c>
      <c r="AT51" s="2">
        <f t="shared" ca="1" si="15"/>
        <v>0</v>
      </c>
      <c r="AU51" s="2">
        <f t="shared" ca="1" si="15"/>
        <v>1325909.5156905523</v>
      </c>
      <c r="AV51" s="2">
        <f t="shared" ca="1" si="15"/>
        <v>0</v>
      </c>
      <c r="AW51" s="2">
        <f t="shared" ca="1" si="15"/>
        <v>0</v>
      </c>
      <c r="AX51" s="2">
        <f t="shared" ca="1" si="15"/>
        <v>1775240.8581337868</v>
      </c>
      <c r="AY51" s="2">
        <f t="shared" ca="1" si="15"/>
        <v>0</v>
      </c>
      <c r="AZ51" s="2">
        <f t="shared" ca="1" si="15"/>
        <v>0</v>
      </c>
      <c r="BA51" s="2">
        <f t="shared" ca="1" si="15"/>
        <v>2076538.3232583986</v>
      </c>
      <c r="BB51" s="2">
        <f t="shared" ca="1" si="15"/>
        <v>0</v>
      </c>
      <c r="BC51" s="2">
        <f t="shared" ca="1" si="15"/>
        <v>0</v>
      </c>
      <c r="BD51" s="2">
        <f t="shared" ca="1" si="15"/>
        <v>2482045.2235028557</v>
      </c>
      <c r="BE51" s="2">
        <f t="shared" ca="1" si="15"/>
        <v>0</v>
      </c>
      <c r="BF51" s="2">
        <f t="shared" ca="1" si="15"/>
        <v>0</v>
      </c>
      <c r="BG51" s="2">
        <f t="shared" ca="1" si="15"/>
        <v>3134868.2563836453</v>
      </c>
      <c r="BH51" s="2">
        <f t="shared" ca="1" si="15"/>
        <v>0</v>
      </c>
      <c r="BI51" s="2">
        <f t="shared" ca="1" si="15"/>
        <v>0</v>
      </c>
      <c r="BJ51" s="2">
        <f t="shared" ca="1" si="15"/>
        <v>3889916.6089735446</v>
      </c>
      <c r="BK51" s="2">
        <f t="shared" ca="1" si="15"/>
        <v>0</v>
      </c>
      <c r="BL51" s="2">
        <f t="shared" ca="1" si="15"/>
        <v>0</v>
      </c>
      <c r="BM51" s="2">
        <f t="shared" ca="1" si="15"/>
        <v>4457910.7972734896</v>
      </c>
      <c r="BN51" s="2">
        <f t="shared" ca="1" si="15"/>
        <v>0</v>
      </c>
      <c r="BO51" s="2">
        <f t="shared" ca="1" si="15"/>
        <v>0</v>
      </c>
      <c r="BP51" s="2">
        <f t="shared" ca="1" si="15"/>
        <v>5234337.1600900143</v>
      </c>
      <c r="BQ51" s="2">
        <f t="shared" ca="1" si="15"/>
        <v>0</v>
      </c>
    </row>
    <row r="54" spans="1:69">
      <c r="B54" s="25" t="s">
        <v>271</v>
      </c>
    </row>
  </sheetData>
  <conditionalFormatting sqref="F3">
    <cfRule type="cellIs" dxfId="221" priority="13" stopIfTrue="1" operator="notEqual">
      <formula>0</formula>
    </cfRule>
    <cfRule type="cellIs" dxfId="220" priority="14" stopIfTrue="1" operator="equal">
      <formula>""</formula>
    </cfRule>
  </conditionalFormatting>
  <conditionalFormatting sqref="J3:BQ3">
    <cfRule type="cellIs" dxfId="219" priority="11" stopIfTrue="1" operator="equal">
      <formula>"Construction"</formula>
    </cfRule>
    <cfRule type="cellIs" dxfId="218" priority="12" stopIfTrue="1" operator="equal">
      <formula>"Operations"</formula>
    </cfRule>
  </conditionalFormatting>
  <conditionalFormatting sqref="J3:BQ3">
    <cfRule type="cellIs" dxfId="217" priority="10" operator="equal">
      <formula>"Fin Close"</formula>
    </cfRule>
  </conditionalFormatting>
  <conditionalFormatting sqref="J3:BQ3">
    <cfRule type="cellIs" dxfId="216" priority="8" operator="equal">
      <formula>"PPA ext."</formula>
    </cfRule>
    <cfRule type="cellIs" dxfId="215" priority="9" operator="equal">
      <formula>"Delay"</formula>
    </cfRule>
  </conditionalFormatting>
  <conditionalFormatting sqref="F2">
    <cfRule type="cellIs" dxfId="214" priority="1" stopIfTrue="1" operator="notEqual">
      <formula>0</formula>
    </cfRule>
    <cfRule type="cellIs" dxfId="213"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44.44140625" style="47" bestFit="1" customWidth="1"/>
    <col min="6" max="6" width="20.5546875" style="47" bestFit="1" customWidth="1"/>
    <col min="7" max="7" width="13.21875" style="47" bestFit="1" customWidth="1"/>
    <col min="8" max="8" width="14.44140625" style="47" bestFit="1" customWidth="1"/>
    <col min="9" max="9" width="3.44140625" style="47" customWidth="1"/>
    <col min="10" max="10" width="12.33203125" style="47" bestFit="1" customWidth="1"/>
    <col min="11" max="11" width="12.109375" style="47" bestFit="1" customWidth="1"/>
    <col min="12" max="12" width="11.88671875" style="47" bestFit="1" customWidth="1"/>
    <col min="13" max="13" width="12.33203125" style="47" bestFit="1" customWidth="1"/>
    <col min="14" max="14" width="12.21875" style="47" bestFit="1" customWidth="1"/>
    <col min="15" max="15" width="11.886718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88671875" style="47" bestFit="1" customWidth="1"/>
    <col min="22" max="22" width="12.33203125" style="47" bestFit="1" customWidth="1"/>
    <col min="23" max="23" width="12.109375" style="47" bestFit="1" customWidth="1"/>
    <col min="24" max="24" width="11.88671875" style="47" bestFit="1" customWidth="1"/>
    <col min="25" max="25" width="12.33203125" style="47" bestFit="1" customWidth="1"/>
    <col min="26" max="26" width="12.21875" style="47" bestFit="1" customWidth="1"/>
    <col min="27" max="27" width="11.886718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88671875" style="47" bestFit="1" customWidth="1"/>
    <col min="34" max="34" width="12.33203125" style="47" bestFit="1" customWidth="1"/>
    <col min="35" max="35" width="12.109375" style="47" bestFit="1" customWidth="1"/>
    <col min="36" max="36" width="11.88671875" style="47" bestFit="1" customWidth="1"/>
    <col min="37" max="37" width="12.44140625" style="47" bestFit="1" customWidth="1"/>
    <col min="38" max="38" width="12.21875" style="47" bestFit="1" customWidth="1"/>
    <col min="39" max="39" width="11.886718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88671875" style="47" bestFit="1" customWidth="1"/>
    <col min="46" max="46" width="12.33203125" style="47" bestFit="1" customWidth="1"/>
    <col min="47" max="47" width="12.109375" style="47" bestFit="1" customWidth="1"/>
    <col min="48" max="48" width="11.88671875" style="47" bestFit="1" customWidth="1"/>
    <col min="49" max="49" width="12.44140625" style="47" bestFit="1" customWidth="1"/>
    <col min="50" max="50" width="12.21875" style="47" bestFit="1" customWidth="1"/>
    <col min="51" max="51" width="11.886718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88671875" style="47" bestFit="1" customWidth="1"/>
    <col min="58" max="58" width="12.33203125" style="47" bestFit="1" customWidth="1"/>
    <col min="59" max="59" width="12.109375" style="47" bestFit="1" customWidth="1"/>
    <col min="60" max="60" width="11.88671875" style="47" bestFit="1" customWidth="1"/>
    <col min="61" max="61" width="12.44140625" style="47" bestFit="1" customWidth="1"/>
    <col min="62" max="62" width="12.21875" style="47" bestFit="1" customWidth="1"/>
    <col min="63" max="68" width="12.44140625" style="47" bestFit="1" customWidth="1"/>
    <col min="69"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Corporation tax</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268</v>
      </c>
    </row>
    <row r="9" spans="1:69" outlineLevel="1">
      <c r="A9" s="18"/>
      <c r="B9" s="18"/>
      <c r="C9" s="28"/>
      <c r="D9" s="27"/>
      <c r="E9" s="4" t="str">
        <f xml:space="preserve">  'Income Statement'!E$11</f>
        <v>EBITDA</v>
      </c>
      <c r="F9" s="4">
        <f xml:space="preserve">  'Income Statement'!F$11</f>
        <v>0</v>
      </c>
      <c r="G9" s="4" t="str">
        <f xml:space="preserve">  'Income Statement'!G$11</f>
        <v>GBP</v>
      </c>
      <c r="H9" s="4">
        <f ca="1" xml:space="preserve">  'Income Statement'!H$11</f>
        <v>113048430.72279143</v>
      </c>
      <c r="I9" s="4">
        <f xml:space="preserve">  'Income Statement'!I$11</f>
        <v>0</v>
      </c>
      <c r="J9" s="4">
        <f ca="1" xml:space="preserve">  'Income Statement'!J$11</f>
        <v>-41400</v>
      </c>
      <c r="K9" s="4">
        <f ca="1" xml:space="preserve">  'Income Statement'!K$11</f>
        <v>-29400</v>
      </c>
      <c r="L9" s="4">
        <f ca="1" xml:space="preserve">  'Income Statement'!L$11</f>
        <v>-17400</v>
      </c>
      <c r="M9" s="4">
        <f ca="1" xml:space="preserve">  'Income Statement'!M$11</f>
        <v>-6494.1423324219286</v>
      </c>
      <c r="N9" s="4">
        <f ca="1" xml:space="preserve">  'Income Statement'!N$11</f>
        <v>-23294.142332421929</v>
      </c>
      <c r="O9" s="4">
        <f ca="1" xml:space="preserve">  'Income Statement'!O$11</f>
        <v>705.85766757807141</v>
      </c>
      <c r="P9" s="4">
        <f ca="1" xml:space="preserve">  'Income Statement'!P$11</f>
        <v>47585.112058631741</v>
      </c>
      <c r="Q9" s="4">
        <f ca="1" xml:space="preserve">  'Income Statement'!Q$11</f>
        <v>54785.112058631741</v>
      </c>
      <c r="R9" s="4">
        <f ca="1" xml:space="preserve">  'Income Statement'!R$11</f>
        <v>90785.112058631741</v>
      </c>
      <c r="S9" s="4">
        <f ca="1" xml:space="preserve">  'Income Statement'!S$11</f>
        <v>89637.116333804879</v>
      </c>
      <c r="T9" s="4">
        <f ca="1" xml:space="preserve">  'Income Statement'!T$11</f>
        <v>209637.11633380488</v>
      </c>
      <c r="U9" s="4">
        <f ca="1" xml:space="preserve">  'Income Statement'!U$11</f>
        <v>209637.11633380488</v>
      </c>
      <c r="V9" s="4">
        <f ca="1" xml:space="preserve">  'Income Statement'!V$11</f>
        <v>324218.65720613074</v>
      </c>
      <c r="W9" s="4">
        <f ca="1" xml:space="preserve">  'Income Statement'!W$11</f>
        <v>407250.51818328281</v>
      </c>
      <c r="X9" s="4">
        <f ca="1" xml:space="preserve">  'Income Statement'!X$11</f>
        <v>434877.08771980408</v>
      </c>
      <c r="Y9" s="4">
        <f ca="1" xml:space="preserve">  'Income Statement'!Y$11</f>
        <v>534845.11847299675</v>
      </c>
      <c r="Z9" s="4">
        <f ca="1" xml:space="preserve">  'Income Statement'!Z$11</f>
        <v>543183.02910490171</v>
      </c>
      <c r="AA9" s="4">
        <f ca="1" xml:space="preserve">  'Income Statement'!AA$11</f>
        <v>537468.1221142814</v>
      </c>
      <c r="AB9" s="4">
        <f ca="1" xml:space="preserve">  'Income Statement'!AB$11</f>
        <v>530182.15563180239</v>
      </c>
      <c r="AC9" s="4">
        <f ca="1" xml:space="preserve">  'Income Statement'!AC$11</f>
        <v>523767.3894252131</v>
      </c>
      <c r="AD9" s="4">
        <f ca="1" xml:space="preserve">  'Income Statement'!AD$11</f>
        <v>516971.1813703886</v>
      </c>
      <c r="AE9" s="4">
        <f ca="1" xml:space="preserve">  'Income Statement'!AE$11</f>
        <v>508505.65788947738</v>
      </c>
      <c r="AF9" s="4">
        <f ca="1" xml:space="preserve">  'Income Statement'!AF$11</f>
        <v>560877.17227552226</v>
      </c>
      <c r="AG9" s="4">
        <f ca="1" xml:space="preserve">  'Income Statement'!AG$11</f>
        <v>612795.07330168621</v>
      </c>
      <c r="AH9" s="4">
        <f ca="1" xml:space="preserve">  'Income Statement'!AH$11</f>
        <v>638022.57913402503</v>
      </c>
      <c r="AI9" s="4">
        <f ca="1" xml:space="preserve">  'Income Statement'!AI$11</f>
        <v>736950.72976521379</v>
      </c>
      <c r="AJ9" s="4">
        <f ca="1" xml:space="preserve">  'Income Statement'!AJ$11</f>
        <v>835339.44016137172</v>
      </c>
      <c r="AK9" s="4">
        <f ca="1" xml:space="preserve">  'Income Statement'!AK$11</f>
        <v>871833.82878945291</v>
      </c>
      <c r="AL9" s="4">
        <f ca="1" xml:space="preserve">  'Income Statement'!AL$11</f>
        <v>919125.52097382967</v>
      </c>
      <c r="AM9" s="4">
        <f ca="1" xml:space="preserve">  'Income Statement'!AM$11</f>
        <v>991695.70699258882</v>
      </c>
      <c r="AN9" s="4">
        <f ca="1" xml:space="preserve">  'Income Statement'!AN$11</f>
        <v>1062231.3028188902</v>
      </c>
      <c r="AO9" s="4">
        <f ca="1" xml:space="preserve">  'Income Statement'!AO$11</f>
        <v>1083481.7704057116</v>
      </c>
      <c r="AP9" s="4">
        <f ca="1" xml:space="preserve">  'Income Statement'!AP$11</f>
        <v>1189889.3542960626</v>
      </c>
      <c r="AQ9" s="4">
        <f ca="1" xml:space="preserve">  'Income Statement'!AQ$11</f>
        <v>1234097.3313214269</v>
      </c>
      <c r="AR9" s="4">
        <f ca="1" xml:space="preserve">  'Income Statement'!AR$11</f>
        <v>1338840.360093517</v>
      </c>
      <c r="AS9" s="4">
        <f ca="1" xml:space="preserve">  'Income Statement'!AS$11</f>
        <v>1442676.1621458447</v>
      </c>
      <c r="AT9" s="4">
        <f ca="1" xml:space="preserve">  'Income Statement'!AT$11</f>
        <v>1536754.7271950759</v>
      </c>
      <c r="AU9" s="4">
        <f ca="1" xml:space="preserve">  'Income Statement'!AU$11</f>
        <v>1687180.973342926</v>
      </c>
      <c r="AV9" s="4">
        <f ca="1" xml:space="preserve">  'Income Statement'!AV$11</f>
        <v>1832280.8869133494</v>
      </c>
      <c r="AW9" s="4">
        <f ca="1" xml:space="preserve">  'Income Statement'!AW$11</f>
        <v>1970282.3581022799</v>
      </c>
      <c r="AX9" s="4">
        <f ca="1" xml:space="preserve">  'Income Statement'!AX$11</f>
        <v>2163760.6127038007</v>
      </c>
      <c r="AY9" s="4">
        <f ca="1" xml:space="preserve">  'Income Statement'!AY$11</f>
        <v>2290904.7547073755</v>
      </c>
      <c r="AZ9" s="4">
        <f ca="1" xml:space="preserve">  'Income Statement'!AZ$11</f>
        <v>2469847.3863620018</v>
      </c>
      <c r="BA9" s="4">
        <f ca="1" xml:space="preserve">  'Income Statement'!BA$11</f>
        <v>2703170.9688316225</v>
      </c>
      <c r="BB9" s="4">
        <f ca="1" xml:space="preserve">  'Income Statement'!BB$11</f>
        <v>2868961.9795325366</v>
      </c>
      <c r="BC9" s="4">
        <f ca="1" xml:space="preserve">  'Income Statement'!BC$11</f>
        <v>3085242.3798138076</v>
      </c>
      <c r="BD9" s="4">
        <f ca="1" xml:space="preserve">  'Income Statement'!BD$11</f>
        <v>3294597.8827836253</v>
      </c>
      <c r="BE9" s="4">
        <f ca="1" xml:space="preserve">  'Income Statement'!BE$11</f>
        <v>3554995.5978118279</v>
      </c>
      <c r="BF9" s="4">
        <f ca="1" xml:space="preserve">  'Income Statement'!BF$11</f>
        <v>3793590.1055832673</v>
      </c>
      <c r="BG9" s="4">
        <f ca="1" xml:space="preserve">  'Income Statement'!BG$11</f>
        <v>4023642.5978789674</v>
      </c>
      <c r="BH9" s="4">
        <f ca="1" xml:space="preserve">  'Income Statement'!BH$11</f>
        <v>4303042.4250198137</v>
      </c>
      <c r="BI9" s="4">
        <f ca="1" xml:space="preserve">  'Income Statement'!BI$11</f>
        <v>4569555.0170783419</v>
      </c>
      <c r="BJ9" s="4">
        <f ca="1" xml:space="preserve">  'Income Statement'!BJ$11</f>
        <v>4864111.5262813838</v>
      </c>
      <c r="BK9" s="4">
        <f ca="1" xml:space="preserve">  'Income Statement'!BK$11</f>
        <v>5145999.8102885326</v>
      </c>
      <c r="BL9" s="4">
        <f ca="1" xml:space="preserve">  'Income Statement'!BL$11</f>
        <v>5472826.5390110593</v>
      </c>
      <c r="BM9" s="4">
        <f ca="1" xml:space="preserve">  'Income Statement'!BM$11</f>
        <v>5765473.7039503008</v>
      </c>
      <c r="BN9" s="4">
        <f ca="1" xml:space="preserve">  'Income Statement'!BN$11</f>
        <v>6103055.725352128</v>
      </c>
      <c r="BO9" s="4">
        <f ca="1" xml:space="preserve">  'Income Statement'!BO$11</f>
        <v>6483008.6048460854</v>
      </c>
      <c r="BP9" s="4">
        <f ca="1" xml:space="preserve">  'Income Statement'!BP$11</f>
        <v>6847719.6107857209</v>
      </c>
      <c r="BQ9" s="4">
        <f ca="1" xml:space="preserve">  'Income Statement'!BQ$11</f>
        <v>7254515.0408421271</v>
      </c>
    </row>
    <row r="10" spans="1:69" outlineLevel="1">
      <c r="E10" s="47" t="s">
        <v>268</v>
      </c>
      <c r="G10" s="47" t="s">
        <v>258</v>
      </c>
      <c r="H10" s="2">
        <f ca="1" xml:space="preserve"> SUM( J10:BQ10 )</f>
        <v>113048430.72279143</v>
      </c>
      <c r="J10" s="2">
        <f t="shared" ref="J10:BQ10" ca="1" si="0" xml:space="preserve">  J9</f>
        <v>-41400</v>
      </c>
      <c r="K10" s="2">
        <f t="shared" ca="1" si="0"/>
        <v>-29400</v>
      </c>
      <c r="L10" s="2">
        <f t="shared" ca="1" si="0"/>
        <v>-17400</v>
      </c>
      <c r="M10" s="2">
        <f t="shared" ca="1" si="0"/>
        <v>-6494.1423324219286</v>
      </c>
      <c r="N10" s="2">
        <f t="shared" ca="1" si="0"/>
        <v>-23294.142332421929</v>
      </c>
      <c r="O10" s="2">
        <f t="shared" ca="1" si="0"/>
        <v>705.85766757807141</v>
      </c>
      <c r="P10" s="2">
        <f t="shared" ca="1" si="0"/>
        <v>47585.112058631741</v>
      </c>
      <c r="Q10" s="2">
        <f t="shared" ca="1" si="0"/>
        <v>54785.112058631741</v>
      </c>
      <c r="R10" s="2">
        <f t="shared" ca="1" si="0"/>
        <v>90785.112058631741</v>
      </c>
      <c r="S10" s="2">
        <f t="shared" ca="1" si="0"/>
        <v>89637.116333804879</v>
      </c>
      <c r="T10" s="2">
        <f t="shared" ca="1" si="0"/>
        <v>209637.11633380488</v>
      </c>
      <c r="U10" s="2">
        <f t="shared" ca="1" si="0"/>
        <v>209637.11633380488</v>
      </c>
      <c r="V10" s="2">
        <f t="shared" ca="1" si="0"/>
        <v>324218.65720613074</v>
      </c>
      <c r="W10" s="2">
        <f t="shared" ca="1" si="0"/>
        <v>407250.51818328281</v>
      </c>
      <c r="X10" s="2">
        <f t="shared" ca="1" si="0"/>
        <v>434877.08771980408</v>
      </c>
      <c r="Y10" s="2">
        <f t="shared" ca="1" si="0"/>
        <v>534845.11847299675</v>
      </c>
      <c r="Z10" s="2">
        <f t="shared" ca="1" si="0"/>
        <v>543183.02910490171</v>
      </c>
      <c r="AA10" s="2">
        <f t="shared" ca="1" si="0"/>
        <v>537468.1221142814</v>
      </c>
      <c r="AB10" s="2">
        <f t="shared" ca="1" si="0"/>
        <v>530182.15563180239</v>
      </c>
      <c r="AC10" s="2">
        <f t="shared" ca="1" si="0"/>
        <v>523767.3894252131</v>
      </c>
      <c r="AD10" s="2">
        <f t="shared" ca="1" si="0"/>
        <v>516971.1813703886</v>
      </c>
      <c r="AE10" s="2">
        <f t="shared" ca="1" si="0"/>
        <v>508505.65788947738</v>
      </c>
      <c r="AF10" s="2">
        <f t="shared" ca="1" si="0"/>
        <v>560877.17227552226</v>
      </c>
      <c r="AG10" s="2">
        <f t="shared" ca="1" si="0"/>
        <v>612795.07330168621</v>
      </c>
      <c r="AH10" s="2">
        <f t="shared" ca="1" si="0"/>
        <v>638022.57913402503</v>
      </c>
      <c r="AI10" s="2">
        <f t="shared" ca="1" si="0"/>
        <v>736950.72976521379</v>
      </c>
      <c r="AJ10" s="2">
        <f t="shared" ca="1" si="0"/>
        <v>835339.44016137172</v>
      </c>
      <c r="AK10" s="2">
        <f t="shared" ca="1" si="0"/>
        <v>871833.82878945291</v>
      </c>
      <c r="AL10" s="2">
        <f t="shared" ca="1" si="0"/>
        <v>919125.52097382967</v>
      </c>
      <c r="AM10" s="2">
        <f t="shared" ca="1" si="0"/>
        <v>991695.70699258882</v>
      </c>
      <c r="AN10" s="2">
        <f t="shared" ca="1" si="0"/>
        <v>1062231.3028188902</v>
      </c>
      <c r="AO10" s="2">
        <f t="shared" ca="1" si="0"/>
        <v>1083481.7704057116</v>
      </c>
      <c r="AP10" s="2">
        <f t="shared" ca="1" si="0"/>
        <v>1189889.3542960626</v>
      </c>
      <c r="AQ10" s="2">
        <f t="shared" ca="1" si="0"/>
        <v>1234097.3313214269</v>
      </c>
      <c r="AR10" s="2">
        <f t="shared" ca="1" si="0"/>
        <v>1338840.360093517</v>
      </c>
      <c r="AS10" s="2">
        <f t="shared" ca="1" si="0"/>
        <v>1442676.1621458447</v>
      </c>
      <c r="AT10" s="2">
        <f t="shared" ca="1" si="0"/>
        <v>1536754.7271950759</v>
      </c>
      <c r="AU10" s="2">
        <f t="shared" ca="1" si="0"/>
        <v>1687180.973342926</v>
      </c>
      <c r="AV10" s="2">
        <f t="shared" ca="1" si="0"/>
        <v>1832280.8869133494</v>
      </c>
      <c r="AW10" s="2">
        <f t="shared" ca="1" si="0"/>
        <v>1970282.3581022799</v>
      </c>
      <c r="AX10" s="2">
        <f t="shared" ca="1" si="0"/>
        <v>2163760.6127038007</v>
      </c>
      <c r="AY10" s="2">
        <f t="shared" ca="1" si="0"/>
        <v>2290904.7547073755</v>
      </c>
      <c r="AZ10" s="2">
        <f t="shared" ca="1" si="0"/>
        <v>2469847.3863620018</v>
      </c>
      <c r="BA10" s="2">
        <f t="shared" ca="1" si="0"/>
        <v>2703170.9688316225</v>
      </c>
      <c r="BB10" s="2">
        <f t="shared" ca="1" si="0"/>
        <v>2868961.9795325366</v>
      </c>
      <c r="BC10" s="2">
        <f t="shared" ca="1" si="0"/>
        <v>3085242.3798138076</v>
      </c>
      <c r="BD10" s="2">
        <f t="shared" ca="1" si="0"/>
        <v>3294597.8827836253</v>
      </c>
      <c r="BE10" s="2">
        <f t="shared" ca="1" si="0"/>
        <v>3554995.5978118279</v>
      </c>
      <c r="BF10" s="2">
        <f t="shared" ca="1" si="0"/>
        <v>3793590.1055832673</v>
      </c>
      <c r="BG10" s="2">
        <f t="shared" ca="1" si="0"/>
        <v>4023642.5978789674</v>
      </c>
      <c r="BH10" s="2">
        <f t="shared" ca="1" si="0"/>
        <v>4303042.4250198137</v>
      </c>
      <c r="BI10" s="2">
        <f t="shared" ca="1" si="0"/>
        <v>4569555.0170783419</v>
      </c>
      <c r="BJ10" s="2">
        <f t="shared" ca="1" si="0"/>
        <v>4864111.5262813838</v>
      </c>
      <c r="BK10" s="2">
        <f t="shared" ca="1" si="0"/>
        <v>5145999.8102885326</v>
      </c>
      <c r="BL10" s="2">
        <f t="shared" ca="1" si="0"/>
        <v>5472826.5390110593</v>
      </c>
      <c r="BM10" s="2">
        <f t="shared" ca="1" si="0"/>
        <v>5765473.7039503008</v>
      </c>
      <c r="BN10" s="2">
        <f t="shared" ca="1" si="0"/>
        <v>6103055.725352128</v>
      </c>
      <c r="BO10" s="2">
        <f t="shared" ca="1" si="0"/>
        <v>6483008.6048460854</v>
      </c>
      <c r="BP10" s="2">
        <f t="shared" ca="1" si="0"/>
        <v>6847719.6107857209</v>
      </c>
      <c r="BQ10" s="2">
        <f t="shared" ca="1" si="0"/>
        <v>7254515.0408421271</v>
      </c>
    </row>
    <row r="13" spans="1:69">
      <c r="B13" s="25" t="s">
        <v>16</v>
      </c>
    </row>
    <row r="14" spans="1:69" outlineLevel="1">
      <c r="E14" s="2" t="str">
        <f t="shared" ref="E14:BQ14" si="1" xml:space="preserve">  E$10</f>
        <v>Taxable income / (Tax losses arising)</v>
      </c>
      <c r="F14" s="2">
        <f t="shared" si="1"/>
        <v>0</v>
      </c>
      <c r="G14" s="2" t="str">
        <f t="shared" si="1"/>
        <v>GBP</v>
      </c>
      <c r="H14" s="2">
        <f t="shared" ca="1" si="1"/>
        <v>113048430.72279143</v>
      </c>
      <c r="I14" s="2">
        <f t="shared" si="1"/>
        <v>0</v>
      </c>
      <c r="J14" s="2">
        <f t="shared" ca="1" si="1"/>
        <v>-41400</v>
      </c>
      <c r="K14" s="2">
        <f t="shared" ca="1" si="1"/>
        <v>-29400</v>
      </c>
      <c r="L14" s="2">
        <f t="shared" ca="1" si="1"/>
        <v>-17400</v>
      </c>
      <c r="M14" s="2">
        <f t="shared" ca="1" si="1"/>
        <v>-6494.1423324219286</v>
      </c>
      <c r="N14" s="2">
        <f t="shared" ca="1" si="1"/>
        <v>-23294.142332421929</v>
      </c>
      <c r="O14" s="2">
        <f t="shared" ca="1" si="1"/>
        <v>705.85766757807141</v>
      </c>
      <c r="P14" s="2">
        <f t="shared" ca="1" si="1"/>
        <v>47585.112058631741</v>
      </c>
      <c r="Q14" s="2">
        <f t="shared" ca="1" si="1"/>
        <v>54785.112058631741</v>
      </c>
      <c r="R14" s="2">
        <f t="shared" ca="1" si="1"/>
        <v>90785.112058631741</v>
      </c>
      <c r="S14" s="2">
        <f t="shared" ca="1" si="1"/>
        <v>89637.116333804879</v>
      </c>
      <c r="T14" s="2">
        <f t="shared" ca="1" si="1"/>
        <v>209637.11633380488</v>
      </c>
      <c r="U14" s="2">
        <f t="shared" ca="1" si="1"/>
        <v>209637.11633380488</v>
      </c>
      <c r="V14" s="2">
        <f t="shared" ca="1" si="1"/>
        <v>324218.65720613074</v>
      </c>
      <c r="W14" s="2">
        <f t="shared" ca="1" si="1"/>
        <v>407250.51818328281</v>
      </c>
      <c r="X14" s="2">
        <f t="shared" ca="1" si="1"/>
        <v>434877.08771980408</v>
      </c>
      <c r="Y14" s="2">
        <f t="shared" ca="1" si="1"/>
        <v>534845.11847299675</v>
      </c>
      <c r="Z14" s="2">
        <f t="shared" ca="1" si="1"/>
        <v>543183.02910490171</v>
      </c>
      <c r="AA14" s="2">
        <f t="shared" ca="1" si="1"/>
        <v>537468.1221142814</v>
      </c>
      <c r="AB14" s="2">
        <f t="shared" ca="1" si="1"/>
        <v>530182.15563180239</v>
      </c>
      <c r="AC14" s="2">
        <f t="shared" ca="1" si="1"/>
        <v>523767.3894252131</v>
      </c>
      <c r="AD14" s="2">
        <f t="shared" ca="1" si="1"/>
        <v>516971.1813703886</v>
      </c>
      <c r="AE14" s="2">
        <f t="shared" ca="1" si="1"/>
        <v>508505.65788947738</v>
      </c>
      <c r="AF14" s="2">
        <f t="shared" ca="1" si="1"/>
        <v>560877.17227552226</v>
      </c>
      <c r="AG14" s="2">
        <f t="shared" ca="1" si="1"/>
        <v>612795.07330168621</v>
      </c>
      <c r="AH14" s="2">
        <f t="shared" ca="1" si="1"/>
        <v>638022.57913402503</v>
      </c>
      <c r="AI14" s="2">
        <f t="shared" ca="1" si="1"/>
        <v>736950.72976521379</v>
      </c>
      <c r="AJ14" s="2">
        <f t="shared" ca="1" si="1"/>
        <v>835339.44016137172</v>
      </c>
      <c r="AK14" s="2">
        <f t="shared" ca="1" si="1"/>
        <v>871833.82878945291</v>
      </c>
      <c r="AL14" s="2">
        <f t="shared" ca="1" si="1"/>
        <v>919125.52097382967</v>
      </c>
      <c r="AM14" s="2">
        <f t="shared" ca="1" si="1"/>
        <v>991695.70699258882</v>
      </c>
      <c r="AN14" s="2">
        <f t="shared" ca="1" si="1"/>
        <v>1062231.3028188902</v>
      </c>
      <c r="AO14" s="2">
        <f t="shared" ca="1" si="1"/>
        <v>1083481.7704057116</v>
      </c>
      <c r="AP14" s="2">
        <f t="shared" ca="1" si="1"/>
        <v>1189889.3542960626</v>
      </c>
      <c r="AQ14" s="2">
        <f t="shared" ca="1" si="1"/>
        <v>1234097.3313214269</v>
      </c>
      <c r="AR14" s="2">
        <f t="shared" ca="1" si="1"/>
        <v>1338840.360093517</v>
      </c>
      <c r="AS14" s="2">
        <f t="shared" ca="1" si="1"/>
        <v>1442676.1621458447</v>
      </c>
      <c r="AT14" s="2">
        <f t="shared" ca="1" si="1"/>
        <v>1536754.7271950759</v>
      </c>
      <c r="AU14" s="2">
        <f t="shared" ca="1" si="1"/>
        <v>1687180.973342926</v>
      </c>
      <c r="AV14" s="2">
        <f t="shared" ca="1" si="1"/>
        <v>1832280.8869133494</v>
      </c>
      <c r="AW14" s="2">
        <f t="shared" ca="1" si="1"/>
        <v>1970282.3581022799</v>
      </c>
      <c r="AX14" s="2">
        <f t="shared" ca="1" si="1"/>
        <v>2163760.6127038007</v>
      </c>
      <c r="AY14" s="2">
        <f t="shared" ca="1" si="1"/>
        <v>2290904.7547073755</v>
      </c>
      <c r="AZ14" s="2">
        <f t="shared" ca="1" si="1"/>
        <v>2469847.3863620018</v>
      </c>
      <c r="BA14" s="2">
        <f t="shared" ca="1" si="1"/>
        <v>2703170.9688316225</v>
      </c>
      <c r="BB14" s="2">
        <f t="shared" ca="1" si="1"/>
        <v>2868961.9795325366</v>
      </c>
      <c r="BC14" s="2">
        <f t="shared" ca="1" si="1"/>
        <v>3085242.3798138076</v>
      </c>
      <c r="BD14" s="2">
        <f t="shared" ca="1" si="1"/>
        <v>3294597.8827836253</v>
      </c>
      <c r="BE14" s="2">
        <f t="shared" ca="1" si="1"/>
        <v>3554995.5978118279</v>
      </c>
      <c r="BF14" s="2">
        <f t="shared" ca="1" si="1"/>
        <v>3793590.1055832673</v>
      </c>
      <c r="BG14" s="2">
        <f t="shared" ca="1" si="1"/>
        <v>4023642.5978789674</v>
      </c>
      <c r="BH14" s="2">
        <f t="shared" ca="1" si="1"/>
        <v>4303042.4250198137</v>
      </c>
      <c r="BI14" s="2">
        <f t="shared" ca="1" si="1"/>
        <v>4569555.0170783419</v>
      </c>
      <c r="BJ14" s="2">
        <f t="shared" ca="1" si="1"/>
        <v>4864111.5262813838</v>
      </c>
      <c r="BK14" s="2">
        <f t="shared" ca="1" si="1"/>
        <v>5145999.8102885326</v>
      </c>
      <c r="BL14" s="2">
        <f t="shared" ca="1" si="1"/>
        <v>5472826.5390110593</v>
      </c>
      <c r="BM14" s="2">
        <f t="shared" ca="1" si="1"/>
        <v>5765473.7039503008</v>
      </c>
      <c r="BN14" s="2">
        <f t="shared" ca="1" si="1"/>
        <v>6103055.725352128</v>
      </c>
      <c r="BO14" s="2">
        <f t="shared" ca="1" si="1"/>
        <v>6483008.6048460854</v>
      </c>
      <c r="BP14" s="2">
        <f t="shared" ca="1" si="1"/>
        <v>6847719.6107857209</v>
      </c>
      <c r="BQ14" s="2">
        <f t="shared" ca="1" si="1"/>
        <v>7254515.0408421271</v>
      </c>
    </row>
    <row r="15" spans="1:69" outlineLevel="1">
      <c r="E15" s="47" t="s">
        <v>16</v>
      </c>
      <c r="G15" s="47" t="s">
        <v>258</v>
      </c>
      <c r="H15" s="2">
        <f ca="1" xml:space="preserve"> SUM( J15:BQ15 )</f>
        <v>113166419.00745627</v>
      </c>
      <c r="J15" s="2">
        <f t="shared" ref="J15:BQ15" ca="1" si="2" xml:space="preserve">  MAX( J14, 0 )</f>
        <v>0</v>
      </c>
      <c r="K15" s="2">
        <f t="shared" ca="1" si="2"/>
        <v>0</v>
      </c>
      <c r="L15" s="2">
        <f t="shared" ca="1" si="2"/>
        <v>0</v>
      </c>
      <c r="M15" s="2">
        <f t="shared" ca="1" si="2"/>
        <v>0</v>
      </c>
      <c r="N15" s="2">
        <f t="shared" ca="1" si="2"/>
        <v>0</v>
      </c>
      <c r="O15" s="2">
        <f t="shared" ca="1" si="2"/>
        <v>705.85766757807141</v>
      </c>
      <c r="P15" s="2">
        <f t="shared" ca="1" si="2"/>
        <v>47585.112058631741</v>
      </c>
      <c r="Q15" s="2">
        <f t="shared" ca="1" si="2"/>
        <v>54785.112058631741</v>
      </c>
      <c r="R15" s="2">
        <f t="shared" ca="1" si="2"/>
        <v>90785.112058631741</v>
      </c>
      <c r="S15" s="2">
        <f t="shared" ca="1" si="2"/>
        <v>89637.116333804879</v>
      </c>
      <c r="T15" s="2">
        <f t="shared" ca="1" si="2"/>
        <v>209637.11633380488</v>
      </c>
      <c r="U15" s="2">
        <f t="shared" ca="1" si="2"/>
        <v>209637.11633380488</v>
      </c>
      <c r="V15" s="2">
        <f t="shared" ca="1" si="2"/>
        <v>324218.65720613074</v>
      </c>
      <c r="W15" s="2">
        <f t="shared" ca="1" si="2"/>
        <v>407250.51818328281</v>
      </c>
      <c r="X15" s="2">
        <f t="shared" ca="1" si="2"/>
        <v>434877.08771980408</v>
      </c>
      <c r="Y15" s="2">
        <f t="shared" ca="1" si="2"/>
        <v>534845.11847299675</v>
      </c>
      <c r="Z15" s="2">
        <f t="shared" ca="1" si="2"/>
        <v>543183.02910490171</v>
      </c>
      <c r="AA15" s="2">
        <f t="shared" ca="1" si="2"/>
        <v>537468.1221142814</v>
      </c>
      <c r="AB15" s="2">
        <f t="shared" ca="1" si="2"/>
        <v>530182.15563180239</v>
      </c>
      <c r="AC15" s="2">
        <f t="shared" ca="1" si="2"/>
        <v>523767.3894252131</v>
      </c>
      <c r="AD15" s="2">
        <f t="shared" ca="1" si="2"/>
        <v>516971.1813703886</v>
      </c>
      <c r="AE15" s="2">
        <f t="shared" ca="1" si="2"/>
        <v>508505.65788947738</v>
      </c>
      <c r="AF15" s="2">
        <f t="shared" ca="1" si="2"/>
        <v>560877.17227552226</v>
      </c>
      <c r="AG15" s="2">
        <f t="shared" ca="1" si="2"/>
        <v>612795.07330168621</v>
      </c>
      <c r="AH15" s="2">
        <f t="shared" ca="1" si="2"/>
        <v>638022.57913402503</v>
      </c>
      <c r="AI15" s="2">
        <f t="shared" ca="1" si="2"/>
        <v>736950.72976521379</v>
      </c>
      <c r="AJ15" s="2">
        <f t="shared" ca="1" si="2"/>
        <v>835339.44016137172</v>
      </c>
      <c r="AK15" s="2">
        <f t="shared" ca="1" si="2"/>
        <v>871833.82878945291</v>
      </c>
      <c r="AL15" s="2">
        <f t="shared" ca="1" si="2"/>
        <v>919125.52097382967</v>
      </c>
      <c r="AM15" s="2">
        <f t="shared" ca="1" si="2"/>
        <v>991695.70699258882</v>
      </c>
      <c r="AN15" s="2">
        <f t="shared" ca="1" si="2"/>
        <v>1062231.3028188902</v>
      </c>
      <c r="AO15" s="2">
        <f t="shared" ca="1" si="2"/>
        <v>1083481.7704057116</v>
      </c>
      <c r="AP15" s="2">
        <f t="shared" ca="1" si="2"/>
        <v>1189889.3542960626</v>
      </c>
      <c r="AQ15" s="2">
        <f t="shared" ca="1" si="2"/>
        <v>1234097.3313214269</v>
      </c>
      <c r="AR15" s="2">
        <f t="shared" ca="1" si="2"/>
        <v>1338840.360093517</v>
      </c>
      <c r="AS15" s="2">
        <f t="shared" ca="1" si="2"/>
        <v>1442676.1621458447</v>
      </c>
      <c r="AT15" s="2">
        <f t="shared" ca="1" si="2"/>
        <v>1536754.7271950759</v>
      </c>
      <c r="AU15" s="2">
        <f t="shared" ca="1" si="2"/>
        <v>1687180.973342926</v>
      </c>
      <c r="AV15" s="2">
        <f t="shared" ca="1" si="2"/>
        <v>1832280.8869133494</v>
      </c>
      <c r="AW15" s="2">
        <f t="shared" ca="1" si="2"/>
        <v>1970282.3581022799</v>
      </c>
      <c r="AX15" s="2">
        <f t="shared" ca="1" si="2"/>
        <v>2163760.6127038007</v>
      </c>
      <c r="AY15" s="2">
        <f t="shared" ca="1" si="2"/>
        <v>2290904.7547073755</v>
      </c>
      <c r="AZ15" s="2">
        <f t="shared" ca="1" si="2"/>
        <v>2469847.3863620018</v>
      </c>
      <c r="BA15" s="2">
        <f t="shared" ca="1" si="2"/>
        <v>2703170.9688316225</v>
      </c>
      <c r="BB15" s="2">
        <f t="shared" ca="1" si="2"/>
        <v>2868961.9795325366</v>
      </c>
      <c r="BC15" s="2">
        <f t="shared" ca="1" si="2"/>
        <v>3085242.3798138076</v>
      </c>
      <c r="BD15" s="2">
        <f t="shared" ca="1" si="2"/>
        <v>3294597.8827836253</v>
      </c>
      <c r="BE15" s="2">
        <f t="shared" ca="1" si="2"/>
        <v>3554995.5978118279</v>
      </c>
      <c r="BF15" s="2">
        <f t="shared" ca="1" si="2"/>
        <v>3793590.1055832673</v>
      </c>
      <c r="BG15" s="2">
        <f t="shared" ca="1" si="2"/>
        <v>4023642.5978789674</v>
      </c>
      <c r="BH15" s="2">
        <f t="shared" ca="1" si="2"/>
        <v>4303042.4250198137</v>
      </c>
      <c r="BI15" s="2">
        <f t="shared" ca="1" si="2"/>
        <v>4569555.0170783419</v>
      </c>
      <c r="BJ15" s="2">
        <f t="shared" ca="1" si="2"/>
        <v>4864111.5262813838</v>
      </c>
      <c r="BK15" s="2">
        <f t="shared" ca="1" si="2"/>
        <v>5145999.8102885326</v>
      </c>
      <c r="BL15" s="2">
        <f t="shared" ca="1" si="2"/>
        <v>5472826.5390110593</v>
      </c>
      <c r="BM15" s="2">
        <f t="shared" ca="1" si="2"/>
        <v>5765473.7039503008</v>
      </c>
      <c r="BN15" s="2">
        <f t="shared" ca="1" si="2"/>
        <v>6103055.725352128</v>
      </c>
      <c r="BO15" s="2">
        <f t="shared" ca="1" si="2"/>
        <v>6483008.6048460854</v>
      </c>
      <c r="BP15" s="2">
        <f t="shared" ca="1" si="2"/>
        <v>6847719.6107857209</v>
      </c>
      <c r="BQ15" s="2">
        <f t="shared" ca="1" si="2"/>
        <v>7254515.0408421271</v>
      </c>
    </row>
    <row r="18" spans="1:69">
      <c r="A18" s="25" t="s">
        <v>325</v>
      </c>
    </row>
    <row r="19" spans="1:69" outlineLevel="1">
      <c r="B19" s="25" t="s">
        <v>248</v>
      </c>
    </row>
    <row r="20" spans="1:69" outlineLevel="2">
      <c r="E20" s="2" t="str">
        <f t="shared" ref="E20:BQ20" si="3" xml:space="preserve">  E$10</f>
        <v>Taxable income / (Tax losses arising)</v>
      </c>
      <c r="F20" s="2">
        <f t="shared" si="3"/>
        <v>0</v>
      </c>
      <c r="G20" s="2" t="str">
        <f t="shared" si="3"/>
        <v>GBP</v>
      </c>
      <c r="H20" s="2">
        <f t="shared" ca="1" si="3"/>
        <v>113048430.72279143</v>
      </c>
      <c r="I20" s="2">
        <f t="shared" si="3"/>
        <v>0</v>
      </c>
      <c r="J20" s="2">
        <f t="shared" ca="1" si="3"/>
        <v>-41400</v>
      </c>
      <c r="K20" s="2">
        <f t="shared" ca="1" si="3"/>
        <v>-29400</v>
      </c>
      <c r="L20" s="2">
        <f t="shared" ca="1" si="3"/>
        <v>-17400</v>
      </c>
      <c r="M20" s="2">
        <f t="shared" ca="1" si="3"/>
        <v>-6494.1423324219286</v>
      </c>
      <c r="N20" s="2">
        <f t="shared" ca="1" si="3"/>
        <v>-23294.142332421929</v>
      </c>
      <c r="O20" s="2">
        <f t="shared" ca="1" si="3"/>
        <v>705.85766757807141</v>
      </c>
      <c r="P20" s="2">
        <f t="shared" ca="1" si="3"/>
        <v>47585.112058631741</v>
      </c>
      <c r="Q20" s="2">
        <f t="shared" ca="1" si="3"/>
        <v>54785.112058631741</v>
      </c>
      <c r="R20" s="2">
        <f t="shared" ca="1" si="3"/>
        <v>90785.112058631741</v>
      </c>
      <c r="S20" s="2">
        <f t="shared" ca="1" si="3"/>
        <v>89637.116333804879</v>
      </c>
      <c r="T20" s="2">
        <f t="shared" ca="1" si="3"/>
        <v>209637.11633380488</v>
      </c>
      <c r="U20" s="2">
        <f t="shared" ca="1" si="3"/>
        <v>209637.11633380488</v>
      </c>
      <c r="V20" s="2">
        <f t="shared" ca="1" si="3"/>
        <v>324218.65720613074</v>
      </c>
      <c r="W20" s="2">
        <f t="shared" ca="1" si="3"/>
        <v>407250.51818328281</v>
      </c>
      <c r="X20" s="2">
        <f t="shared" ca="1" si="3"/>
        <v>434877.08771980408</v>
      </c>
      <c r="Y20" s="2">
        <f t="shared" ca="1" si="3"/>
        <v>534845.11847299675</v>
      </c>
      <c r="Z20" s="2">
        <f t="shared" ca="1" si="3"/>
        <v>543183.02910490171</v>
      </c>
      <c r="AA20" s="2">
        <f t="shared" ca="1" si="3"/>
        <v>537468.1221142814</v>
      </c>
      <c r="AB20" s="2">
        <f t="shared" ca="1" si="3"/>
        <v>530182.15563180239</v>
      </c>
      <c r="AC20" s="2">
        <f t="shared" ca="1" si="3"/>
        <v>523767.3894252131</v>
      </c>
      <c r="AD20" s="2">
        <f t="shared" ca="1" si="3"/>
        <v>516971.1813703886</v>
      </c>
      <c r="AE20" s="2">
        <f t="shared" ca="1" si="3"/>
        <v>508505.65788947738</v>
      </c>
      <c r="AF20" s="2">
        <f t="shared" ca="1" si="3"/>
        <v>560877.17227552226</v>
      </c>
      <c r="AG20" s="2">
        <f t="shared" ca="1" si="3"/>
        <v>612795.07330168621</v>
      </c>
      <c r="AH20" s="2">
        <f t="shared" ca="1" si="3"/>
        <v>638022.57913402503</v>
      </c>
      <c r="AI20" s="2">
        <f t="shared" ca="1" si="3"/>
        <v>736950.72976521379</v>
      </c>
      <c r="AJ20" s="2">
        <f t="shared" ca="1" si="3"/>
        <v>835339.44016137172</v>
      </c>
      <c r="AK20" s="2">
        <f t="shared" ca="1" si="3"/>
        <v>871833.82878945291</v>
      </c>
      <c r="AL20" s="2">
        <f t="shared" ca="1" si="3"/>
        <v>919125.52097382967</v>
      </c>
      <c r="AM20" s="2">
        <f t="shared" ca="1" si="3"/>
        <v>991695.70699258882</v>
      </c>
      <c r="AN20" s="2">
        <f t="shared" ca="1" si="3"/>
        <v>1062231.3028188902</v>
      </c>
      <c r="AO20" s="2">
        <f t="shared" ca="1" si="3"/>
        <v>1083481.7704057116</v>
      </c>
      <c r="AP20" s="2">
        <f t="shared" ca="1" si="3"/>
        <v>1189889.3542960626</v>
      </c>
      <c r="AQ20" s="2">
        <f t="shared" ca="1" si="3"/>
        <v>1234097.3313214269</v>
      </c>
      <c r="AR20" s="2">
        <f t="shared" ca="1" si="3"/>
        <v>1338840.360093517</v>
      </c>
      <c r="AS20" s="2">
        <f t="shared" ca="1" si="3"/>
        <v>1442676.1621458447</v>
      </c>
      <c r="AT20" s="2">
        <f t="shared" ca="1" si="3"/>
        <v>1536754.7271950759</v>
      </c>
      <c r="AU20" s="2">
        <f t="shared" ca="1" si="3"/>
        <v>1687180.973342926</v>
      </c>
      <c r="AV20" s="2">
        <f t="shared" ca="1" si="3"/>
        <v>1832280.8869133494</v>
      </c>
      <c r="AW20" s="2">
        <f t="shared" ca="1" si="3"/>
        <v>1970282.3581022799</v>
      </c>
      <c r="AX20" s="2">
        <f t="shared" ca="1" si="3"/>
        <v>2163760.6127038007</v>
      </c>
      <c r="AY20" s="2">
        <f t="shared" ca="1" si="3"/>
        <v>2290904.7547073755</v>
      </c>
      <c r="AZ20" s="2">
        <f t="shared" ca="1" si="3"/>
        <v>2469847.3863620018</v>
      </c>
      <c r="BA20" s="2">
        <f t="shared" ca="1" si="3"/>
        <v>2703170.9688316225</v>
      </c>
      <c r="BB20" s="2">
        <f t="shared" ca="1" si="3"/>
        <v>2868961.9795325366</v>
      </c>
      <c r="BC20" s="2">
        <f t="shared" ca="1" si="3"/>
        <v>3085242.3798138076</v>
      </c>
      <c r="BD20" s="2">
        <f t="shared" ca="1" si="3"/>
        <v>3294597.8827836253</v>
      </c>
      <c r="BE20" s="2">
        <f t="shared" ca="1" si="3"/>
        <v>3554995.5978118279</v>
      </c>
      <c r="BF20" s="2">
        <f t="shared" ca="1" si="3"/>
        <v>3793590.1055832673</v>
      </c>
      <c r="BG20" s="2">
        <f t="shared" ca="1" si="3"/>
        <v>4023642.5978789674</v>
      </c>
      <c r="BH20" s="2">
        <f t="shared" ca="1" si="3"/>
        <v>4303042.4250198137</v>
      </c>
      <c r="BI20" s="2">
        <f t="shared" ca="1" si="3"/>
        <v>4569555.0170783419</v>
      </c>
      <c r="BJ20" s="2">
        <f t="shared" ca="1" si="3"/>
        <v>4864111.5262813838</v>
      </c>
      <c r="BK20" s="2">
        <f t="shared" ca="1" si="3"/>
        <v>5145999.8102885326</v>
      </c>
      <c r="BL20" s="2">
        <f t="shared" ca="1" si="3"/>
        <v>5472826.5390110593</v>
      </c>
      <c r="BM20" s="2">
        <f t="shared" ca="1" si="3"/>
        <v>5765473.7039503008</v>
      </c>
      <c r="BN20" s="2">
        <f t="shared" ca="1" si="3"/>
        <v>6103055.725352128</v>
      </c>
      <c r="BO20" s="2">
        <f t="shared" ca="1" si="3"/>
        <v>6483008.6048460854</v>
      </c>
      <c r="BP20" s="2">
        <f t="shared" ca="1" si="3"/>
        <v>6847719.6107857209</v>
      </c>
      <c r="BQ20" s="2">
        <f t="shared" ca="1" si="3"/>
        <v>7254515.0408421271</v>
      </c>
    </row>
    <row r="21" spans="1:69" outlineLevel="2">
      <c r="E21" s="47" t="s">
        <v>248</v>
      </c>
      <c r="G21" s="47" t="s">
        <v>258</v>
      </c>
      <c r="H21" s="2">
        <f ca="1" xml:space="preserve"> SUM( J21:BQ21 )</f>
        <v>117988.28466484387</v>
      </c>
      <c r="J21" s="2">
        <f t="shared" ref="J21:BQ21" ca="1" si="4" xml:space="preserve">  0 - 1 * MIN( J20, 0 )</f>
        <v>41400</v>
      </c>
      <c r="K21" s="2">
        <f t="shared" ca="1" si="4"/>
        <v>29400</v>
      </c>
      <c r="L21" s="2">
        <f t="shared" ca="1" si="4"/>
        <v>17400</v>
      </c>
      <c r="M21" s="2">
        <f t="shared" ca="1" si="4"/>
        <v>6494.1423324219286</v>
      </c>
      <c r="N21" s="2">
        <f t="shared" ca="1" si="4"/>
        <v>23294.142332421929</v>
      </c>
      <c r="O21" s="2">
        <f t="shared" ca="1" si="4"/>
        <v>0</v>
      </c>
      <c r="P21" s="2">
        <f t="shared" ca="1" si="4"/>
        <v>0</v>
      </c>
      <c r="Q21" s="2">
        <f t="shared" ca="1" si="4"/>
        <v>0</v>
      </c>
      <c r="R21" s="2">
        <f t="shared" ca="1" si="4"/>
        <v>0</v>
      </c>
      <c r="S21" s="2">
        <f t="shared" ca="1" si="4"/>
        <v>0</v>
      </c>
      <c r="T21" s="2">
        <f t="shared" ca="1" si="4"/>
        <v>0</v>
      </c>
      <c r="U21" s="2">
        <f t="shared" ca="1" si="4"/>
        <v>0</v>
      </c>
      <c r="V21" s="2">
        <f t="shared" ca="1" si="4"/>
        <v>0</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5" t="s">
        <v>326</v>
      </c>
    </row>
    <row r="25" spans="1:69" outlineLevel="2">
      <c r="E25" s="2" t="str">
        <f t="shared" ref="E25:BQ25" si="5" xml:space="preserve">  E$15</f>
        <v>Taxable income</v>
      </c>
      <c r="F25" s="2">
        <f t="shared" si="5"/>
        <v>0</v>
      </c>
      <c r="G25" s="2" t="str">
        <f t="shared" si="5"/>
        <v>GBP</v>
      </c>
      <c r="H25" s="2">
        <f t="shared" ca="1" si="5"/>
        <v>113166419.00745627</v>
      </c>
      <c r="I25" s="2">
        <f t="shared" si="5"/>
        <v>0</v>
      </c>
      <c r="J25" s="2">
        <f t="shared" ca="1" si="5"/>
        <v>0</v>
      </c>
      <c r="K25" s="2">
        <f t="shared" ca="1" si="5"/>
        <v>0</v>
      </c>
      <c r="L25" s="2">
        <f t="shared" ca="1" si="5"/>
        <v>0</v>
      </c>
      <c r="M25" s="2">
        <f t="shared" ca="1" si="5"/>
        <v>0</v>
      </c>
      <c r="N25" s="2">
        <f t="shared" ca="1" si="5"/>
        <v>0</v>
      </c>
      <c r="O25" s="2">
        <f t="shared" ca="1" si="5"/>
        <v>705.85766757807141</v>
      </c>
      <c r="P25" s="2">
        <f t="shared" ca="1" si="5"/>
        <v>47585.112058631741</v>
      </c>
      <c r="Q25" s="2">
        <f t="shared" ca="1" si="5"/>
        <v>54785.112058631741</v>
      </c>
      <c r="R25" s="2">
        <f t="shared" ca="1" si="5"/>
        <v>90785.112058631741</v>
      </c>
      <c r="S25" s="2">
        <f t="shared" ca="1" si="5"/>
        <v>89637.116333804879</v>
      </c>
      <c r="T25" s="2">
        <f t="shared" ca="1" si="5"/>
        <v>209637.11633380488</v>
      </c>
      <c r="U25" s="2">
        <f t="shared" ca="1" si="5"/>
        <v>209637.11633380488</v>
      </c>
      <c r="V25" s="2">
        <f t="shared" ca="1" si="5"/>
        <v>324218.65720613074</v>
      </c>
      <c r="W25" s="2">
        <f t="shared" ca="1" si="5"/>
        <v>407250.51818328281</v>
      </c>
      <c r="X25" s="2">
        <f t="shared" ca="1" si="5"/>
        <v>434877.08771980408</v>
      </c>
      <c r="Y25" s="2">
        <f t="shared" ca="1" si="5"/>
        <v>534845.11847299675</v>
      </c>
      <c r="Z25" s="2">
        <f t="shared" ca="1" si="5"/>
        <v>543183.02910490171</v>
      </c>
      <c r="AA25" s="2">
        <f t="shared" ca="1" si="5"/>
        <v>537468.1221142814</v>
      </c>
      <c r="AB25" s="2">
        <f t="shared" ca="1" si="5"/>
        <v>530182.15563180239</v>
      </c>
      <c r="AC25" s="2">
        <f t="shared" ca="1" si="5"/>
        <v>523767.3894252131</v>
      </c>
      <c r="AD25" s="2">
        <f t="shared" ca="1" si="5"/>
        <v>516971.1813703886</v>
      </c>
      <c r="AE25" s="2">
        <f t="shared" ca="1" si="5"/>
        <v>508505.65788947738</v>
      </c>
      <c r="AF25" s="2">
        <f t="shared" ca="1" si="5"/>
        <v>560877.17227552226</v>
      </c>
      <c r="AG25" s="2">
        <f t="shared" ca="1" si="5"/>
        <v>612795.07330168621</v>
      </c>
      <c r="AH25" s="2">
        <f t="shared" ca="1" si="5"/>
        <v>638022.57913402503</v>
      </c>
      <c r="AI25" s="2">
        <f t="shared" ca="1" si="5"/>
        <v>736950.72976521379</v>
      </c>
      <c r="AJ25" s="2">
        <f t="shared" ca="1" si="5"/>
        <v>835339.44016137172</v>
      </c>
      <c r="AK25" s="2">
        <f t="shared" ca="1" si="5"/>
        <v>871833.82878945291</v>
      </c>
      <c r="AL25" s="2">
        <f t="shared" ca="1" si="5"/>
        <v>919125.52097382967</v>
      </c>
      <c r="AM25" s="2">
        <f t="shared" ca="1" si="5"/>
        <v>991695.70699258882</v>
      </c>
      <c r="AN25" s="2">
        <f t="shared" ca="1" si="5"/>
        <v>1062231.3028188902</v>
      </c>
      <c r="AO25" s="2">
        <f t="shared" ca="1" si="5"/>
        <v>1083481.7704057116</v>
      </c>
      <c r="AP25" s="2">
        <f t="shared" ca="1" si="5"/>
        <v>1189889.3542960626</v>
      </c>
      <c r="AQ25" s="2">
        <f t="shared" ca="1" si="5"/>
        <v>1234097.3313214269</v>
      </c>
      <c r="AR25" s="2">
        <f t="shared" ca="1" si="5"/>
        <v>1338840.360093517</v>
      </c>
      <c r="AS25" s="2">
        <f t="shared" ca="1" si="5"/>
        <v>1442676.1621458447</v>
      </c>
      <c r="AT25" s="2">
        <f t="shared" ca="1" si="5"/>
        <v>1536754.7271950759</v>
      </c>
      <c r="AU25" s="2">
        <f t="shared" ca="1" si="5"/>
        <v>1687180.973342926</v>
      </c>
      <c r="AV25" s="2">
        <f t="shared" ca="1" si="5"/>
        <v>1832280.8869133494</v>
      </c>
      <c r="AW25" s="2">
        <f t="shared" ca="1" si="5"/>
        <v>1970282.3581022799</v>
      </c>
      <c r="AX25" s="2">
        <f t="shared" ca="1" si="5"/>
        <v>2163760.6127038007</v>
      </c>
      <c r="AY25" s="2">
        <f t="shared" ca="1" si="5"/>
        <v>2290904.7547073755</v>
      </c>
      <c r="AZ25" s="2">
        <f t="shared" ca="1" si="5"/>
        <v>2469847.3863620018</v>
      </c>
      <c r="BA25" s="2">
        <f t="shared" ca="1" si="5"/>
        <v>2703170.9688316225</v>
      </c>
      <c r="BB25" s="2">
        <f t="shared" ca="1" si="5"/>
        <v>2868961.9795325366</v>
      </c>
      <c r="BC25" s="2">
        <f t="shared" ca="1" si="5"/>
        <v>3085242.3798138076</v>
      </c>
      <c r="BD25" s="2">
        <f t="shared" ca="1" si="5"/>
        <v>3294597.8827836253</v>
      </c>
      <c r="BE25" s="2">
        <f t="shared" ca="1" si="5"/>
        <v>3554995.5978118279</v>
      </c>
      <c r="BF25" s="2">
        <f t="shared" ca="1" si="5"/>
        <v>3793590.1055832673</v>
      </c>
      <c r="BG25" s="2">
        <f t="shared" ca="1" si="5"/>
        <v>4023642.5978789674</v>
      </c>
      <c r="BH25" s="2">
        <f t="shared" ca="1" si="5"/>
        <v>4303042.4250198137</v>
      </c>
      <c r="BI25" s="2">
        <f t="shared" ca="1" si="5"/>
        <v>4569555.0170783419</v>
      </c>
      <c r="BJ25" s="2">
        <f t="shared" ca="1" si="5"/>
        <v>4864111.5262813838</v>
      </c>
      <c r="BK25" s="2">
        <f t="shared" ca="1" si="5"/>
        <v>5145999.8102885326</v>
      </c>
      <c r="BL25" s="2">
        <f t="shared" ca="1" si="5"/>
        <v>5472826.5390110593</v>
      </c>
      <c r="BM25" s="2">
        <f t="shared" ca="1" si="5"/>
        <v>5765473.7039503008</v>
      </c>
      <c r="BN25" s="2">
        <f t="shared" ca="1" si="5"/>
        <v>6103055.725352128</v>
      </c>
      <c r="BO25" s="2">
        <f t="shared" ca="1" si="5"/>
        <v>6483008.6048460854</v>
      </c>
      <c r="BP25" s="2">
        <f t="shared" ca="1" si="5"/>
        <v>6847719.6107857209</v>
      </c>
      <c r="BQ25" s="2">
        <f t="shared" ca="1" si="5"/>
        <v>7254515.0408421271</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29400</v>
      </c>
      <c r="M26" s="2">
        <f t="shared" ca="1" si="6"/>
        <v>46800</v>
      </c>
      <c r="N26" s="2">
        <f t="shared" ca="1" si="6"/>
        <v>53294.142332421929</v>
      </c>
      <c r="O26" s="2">
        <f t="shared" ca="1" si="6"/>
        <v>76588.284664843857</v>
      </c>
      <c r="P26" s="2">
        <f t="shared" ca="1" si="6"/>
        <v>75882.426997265778</v>
      </c>
      <c r="Q26" s="2">
        <f t="shared" ca="1" si="6"/>
        <v>28297.314938634037</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7" t="s">
        <v>326</v>
      </c>
      <c r="G27" s="47" t="s">
        <v>258</v>
      </c>
      <c r="H27" s="2">
        <f ca="1" xml:space="preserve"> SUM( J27:BQ27 )</f>
        <v>76588.284664843843</v>
      </c>
      <c r="J27" s="2">
        <f t="shared" ref="J27:BQ27" ca="1" si="7" xml:space="preserve">  MIN( J25, J26 )</f>
        <v>0</v>
      </c>
      <c r="K27" s="2">
        <f t="shared" ca="1" si="7"/>
        <v>0</v>
      </c>
      <c r="L27" s="2">
        <f t="shared" ca="1" si="7"/>
        <v>0</v>
      </c>
      <c r="M27" s="2">
        <f t="shared" ca="1" si="7"/>
        <v>0</v>
      </c>
      <c r="N27" s="2">
        <f t="shared" ca="1" si="7"/>
        <v>0</v>
      </c>
      <c r="O27" s="2">
        <f t="shared" ca="1" si="7"/>
        <v>705.85766757807141</v>
      </c>
      <c r="P27" s="2">
        <f t="shared" ca="1" si="7"/>
        <v>47585.112058631741</v>
      </c>
      <c r="Q27" s="2">
        <f t="shared" ca="1" si="7"/>
        <v>28297.314938634037</v>
      </c>
      <c r="R27" s="2">
        <f t="shared" ca="1" si="7"/>
        <v>0</v>
      </c>
      <c r="S27" s="2">
        <f t="shared" ca="1" si="7"/>
        <v>0</v>
      </c>
      <c r="T27" s="2">
        <f t="shared" ca="1" si="7"/>
        <v>0</v>
      </c>
      <c r="U27" s="2">
        <f t="shared" ca="1" si="7"/>
        <v>0</v>
      </c>
      <c r="V27" s="2">
        <f t="shared" ca="1" si="7"/>
        <v>0</v>
      </c>
      <c r="W27" s="2">
        <f t="shared" ca="1" si="7"/>
        <v>0</v>
      </c>
      <c r="X27" s="2">
        <f t="shared" ca="1" si="7"/>
        <v>0</v>
      </c>
      <c r="Y27" s="2">
        <f t="shared" ca="1" si="7"/>
        <v>0</v>
      </c>
      <c r="Z27" s="2">
        <f t="shared" ca="1" si="7"/>
        <v>0</v>
      </c>
      <c r="AA27" s="2">
        <f t="shared" ca="1" si="7"/>
        <v>0</v>
      </c>
      <c r="AB27" s="2">
        <f t="shared" ca="1" si="7"/>
        <v>0</v>
      </c>
      <c r="AC27" s="2">
        <f t="shared" ca="1" si="7"/>
        <v>0</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5" t="s">
        <v>84</v>
      </c>
    </row>
    <row r="31" spans="1:69" s="82" customFormat="1" outlineLevel="1">
      <c r="A31" s="59"/>
      <c r="B31" s="59"/>
      <c r="C31" s="87"/>
      <c r="D31" s="84"/>
      <c r="E31" s="40" t="str">
        <f xml:space="preserve">  InpC!E$90</f>
        <v>Tax losses carried forward - initial balance</v>
      </c>
      <c r="F31" s="40">
        <f xml:space="preserve">  InpC!F$90</f>
        <v>0</v>
      </c>
      <c r="G31" s="40" t="str">
        <f xml:space="preserve">  InpC!G$90</f>
        <v>GBP</v>
      </c>
      <c r="M31" s="80"/>
    </row>
    <row r="32" spans="1:69" outlineLevel="1">
      <c r="A32" s="18"/>
      <c r="B32" s="18"/>
      <c r="C32" s="28"/>
      <c r="D32" s="27"/>
      <c r="E32" s="9" t="str">
        <f xml:space="preserve">  Time!E$28</f>
        <v>Period number</v>
      </c>
      <c r="F32" s="9">
        <f xml:space="preserve">  Time!F$28</f>
        <v>0</v>
      </c>
      <c r="G32" s="9" t="str">
        <f xml:space="preserve">  Time!G$28</f>
        <v>Counter</v>
      </c>
      <c r="H32" s="9">
        <f xml:space="preserve">  Time!H$28</f>
        <v>0</v>
      </c>
      <c r="I32" s="9">
        <f xml:space="preserve">  Time!I$28</f>
        <v>0</v>
      </c>
      <c r="J32" s="9">
        <f xml:space="preserve">  Time!J$28</f>
        <v>1</v>
      </c>
      <c r="K32" s="9">
        <f xml:space="preserve">  Time!K$28</f>
        <v>2</v>
      </c>
      <c r="L32" s="9">
        <f xml:space="preserve">  Time!L$28</f>
        <v>3</v>
      </c>
      <c r="M32" s="9">
        <f xml:space="preserve">  Time!M$28</f>
        <v>4</v>
      </c>
      <c r="N32" s="9">
        <f xml:space="preserve">  Time!N$28</f>
        <v>5</v>
      </c>
      <c r="O32" s="9">
        <f xml:space="preserve">  Time!O$28</f>
        <v>6</v>
      </c>
      <c r="P32" s="9">
        <f xml:space="preserve">  Time!P$28</f>
        <v>7</v>
      </c>
      <c r="Q32" s="9">
        <f xml:space="preserve">  Time!Q$28</f>
        <v>8</v>
      </c>
      <c r="R32" s="9">
        <f xml:space="preserve">  Time!R$28</f>
        <v>9</v>
      </c>
      <c r="S32" s="9">
        <f xml:space="preserve">  Time!S$28</f>
        <v>10</v>
      </c>
      <c r="T32" s="9">
        <f xml:space="preserve">  Time!T$28</f>
        <v>11</v>
      </c>
      <c r="U32" s="9">
        <f xml:space="preserve">  Time!U$28</f>
        <v>12</v>
      </c>
      <c r="V32" s="9">
        <f xml:space="preserve">  Time!V$28</f>
        <v>13</v>
      </c>
      <c r="W32" s="9">
        <f xml:space="preserve">  Time!W$28</f>
        <v>14</v>
      </c>
      <c r="X32" s="9">
        <f xml:space="preserve">  Time!X$28</f>
        <v>15</v>
      </c>
      <c r="Y32" s="9">
        <f xml:space="preserve">  Time!Y$28</f>
        <v>16</v>
      </c>
      <c r="Z32" s="9">
        <f xml:space="preserve">  Time!Z$28</f>
        <v>17</v>
      </c>
      <c r="AA32" s="9">
        <f xml:space="preserve">  Time!AA$28</f>
        <v>18</v>
      </c>
      <c r="AB32" s="9">
        <f xml:space="preserve">  Time!AB$28</f>
        <v>19</v>
      </c>
      <c r="AC32" s="9">
        <f xml:space="preserve">  Time!AC$28</f>
        <v>20</v>
      </c>
      <c r="AD32" s="9">
        <f xml:space="preserve">  Time!AD$28</f>
        <v>21</v>
      </c>
      <c r="AE32" s="9">
        <f xml:space="preserve">  Time!AE$28</f>
        <v>22</v>
      </c>
      <c r="AF32" s="9">
        <f xml:space="preserve">  Time!AF$28</f>
        <v>23</v>
      </c>
      <c r="AG32" s="9">
        <f xml:space="preserve">  Time!AG$28</f>
        <v>24</v>
      </c>
      <c r="AH32" s="9">
        <f xml:space="preserve">  Time!AH$28</f>
        <v>25</v>
      </c>
      <c r="AI32" s="9">
        <f xml:space="preserve">  Time!AI$28</f>
        <v>26</v>
      </c>
      <c r="AJ32" s="9">
        <f xml:space="preserve">  Time!AJ$28</f>
        <v>27</v>
      </c>
      <c r="AK32" s="9">
        <f xml:space="preserve">  Time!AK$28</f>
        <v>28</v>
      </c>
      <c r="AL32" s="9">
        <f xml:space="preserve">  Time!AL$28</f>
        <v>29</v>
      </c>
      <c r="AM32" s="9">
        <f xml:space="preserve">  Time!AM$28</f>
        <v>30</v>
      </c>
      <c r="AN32" s="9">
        <f xml:space="preserve">  Time!AN$28</f>
        <v>31</v>
      </c>
      <c r="AO32" s="9">
        <f xml:space="preserve">  Time!AO$28</f>
        <v>32</v>
      </c>
      <c r="AP32" s="9">
        <f xml:space="preserve">  Time!AP$28</f>
        <v>33</v>
      </c>
      <c r="AQ32" s="9">
        <f xml:space="preserve">  Time!AQ$28</f>
        <v>34</v>
      </c>
      <c r="AR32" s="9">
        <f xml:space="preserve">  Time!AR$28</f>
        <v>35</v>
      </c>
      <c r="AS32" s="9">
        <f xml:space="preserve">  Time!AS$28</f>
        <v>36</v>
      </c>
      <c r="AT32" s="9">
        <f xml:space="preserve">  Time!AT$28</f>
        <v>37</v>
      </c>
      <c r="AU32" s="9">
        <f xml:space="preserve">  Time!AU$28</f>
        <v>38</v>
      </c>
      <c r="AV32" s="9">
        <f xml:space="preserve">  Time!AV$28</f>
        <v>39</v>
      </c>
      <c r="AW32" s="9">
        <f xml:space="preserve">  Time!AW$28</f>
        <v>40</v>
      </c>
      <c r="AX32" s="9">
        <f xml:space="preserve">  Time!AX$28</f>
        <v>41</v>
      </c>
      <c r="AY32" s="9">
        <f xml:space="preserve">  Time!AY$28</f>
        <v>42</v>
      </c>
      <c r="AZ32" s="9">
        <f xml:space="preserve">  Time!AZ$28</f>
        <v>43</v>
      </c>
      <c r="BA32" s="9">
        <f xml:space="preserve">  Time!BA$28</f>
        <v>44</v>
      </c>
      <c r="BB32" s="9">
        <f xml:space="preserve">  Time!BB$28</f>
        <v>45</v>
      </c>
      <c r="BC32" s="9">
        <f xml:space="preserve">  Time!BC$28</f>
        <v>46</v>
      </c>
      <c r="BD32" s="9">
        <f xml:space="preserve">  Time!BD$28</f>
        <v>47</v>
      </c>
      <c r="BE32" s="9">
        <f xml:space="preserve">  Time!BE$28</f>
        <v>48</v>
      </c>
      <c r="BF32" s="9">
        <f xml:space="preserve">  Time!BF$28</f>
        <v>49</v>
      </c>
      <c r="BG32" s="9">
        <f xml:space="preserve">  Time!BG$28</f>
        <v>50</v>
      </c>
      <c r="BH32" s="9">
        <f xml:space="preserve">  Time!BH$28</f>
        <v>51</v>
      </c>
      <c r="BI32" s="9">
        <f xml:space="preserve">  Time!BI$28</f>
        <v>52</v>
      </c>
      <c r="BJ32" s="9">
        <f xml:space="preserve">  Time!BJ$28</f>
        <v>53</v>
      </c>
      <c r="BK32" s="9">
        <f xml:space="preserve">  Time!BK$28</f>
        <v>54</v>
      </c>
      <c r="BL32" s="9">
        <f xml:space="preserve">  Time!BL$28</f>
        <v>55</v>
      </c>
      <c r="BM32" s="9">
        <f xml:space="preserve">  Time!BM$28</f>
        <v>56</v>
      </c>
      <c r="BN32" s="9">
        <f xml:space="preserve">  Time!BN$28</f>
        <v>57</v>
      </c>
      <c r="BO32" s="9">
        <f xml:space="preserve">  Time!BO$28</f>
        <v>58</v>
      </c>
      <c r="BP32" s="9">
        <f xml:space="preserve">  Time!BP$28</f>
        <v>59</v>
      </c>
      <c r="BQ32" s="9">
        <f xml:space="preserve">  Time!BQ$28</f>
        <v>60</v>
      </c>
    </row>
    <row r="33" spans="1:69" outlineLevel="1">
      <c r="E33" s="47" t="s">
        <v>351</v>
      </c>
      <c r="G33" s="47" t="s">
        <v>258</v>
      </c>
      <c r="J33" s="2">
        <f t="shared" ref="J33:BQ33" si="8" xml:space="preserve">  I36</f>
        <v>0</v>
      </c>
      <c r="K33" s="2">
        <f t="shared" si="8"/>
        <v>0</v>
      </c>
      <c r="L33" s="2">
        <f t="shared" ca="1" si="8"/>
        <v>29400</v>
      </c>
      <c r="M33" s="2">
        <f t="shared" ca="1" si="8"/>
        <v>46800</v>
      </c>
      <c r="N33" s="2">
        <f t="shared" ca="1" si="8"/>
        <v>53294.142332421929</v>
      </c>
      <c r="O33" s="2">
        <f t="shared" ca="1" si="8"/>
        <v>76588.284664843857</v>
      </c>
      <c r="P33" s="2">
        <f t="shared" ca="1" si="8"/>
        <v>75882.426997265778</v>
      </c>
      <c r="Q33" s="2">
        <f t="shared" ca="1" si="8"/>
        <v>28297.314938634037</v>
      </c>
      <c r="R33" s="2">
        <f t="shared" ca="1" si="8"/>
        <v>0</v>
      </c>
      <c r="S33" s="2">
        <f t="shared" ca="1" si="8"/>
        <v>0</v>
      </c>
      <c r="T33" s="2">
        <f t="shared" ca="1" si="8"/>
        <v>0</v>
      </c>
      <c r="U33" s="2">
        <f t="shared" ca="1" si="8"/>
        <v>0</v>
      </c>
      <c r="V33" s="2">
        <f t="shared" ca="1" si="8"/>
        <v>0</v>
      </c>
      <c r="W33" s="2">
        <f t="shared" ca="1" si="8"/>
        <v>0</v>
      </c>
      <c r="X33" s="2">
        <f t="shared" ca="1" si="8"/>
        <v>0</v>
      </c>
      <c r="Y33" s="2">
        <f t="shared" ca="1" si="8"/>
        <v>0</v>
      </c>
      <c r="Z33" s="2">
        <f t="shared" ca="1" si="8"/>
        <v>0</v>
      </c>
      <c r="AA33" s="2">
        <f t="shared" ca="1" si="8"/>
        <v>0</v>
      </c>
      <c r="AB33" s="2">
        <f t="shared" ca="1" si="8"/>
        <v>0</v>
      </c>
      <c r="AC33" s="2">
        <f t="shared" ca="1" si="8"/>
        <v>0</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91" t="s">
        <v>219</v>
      </c>
      <c r="E34" s="2" t="str">
        <f t="shared" ref="E34:BQ34" si="9" xml:space="preserve">  E$21</f>
        <v>Tax losses arising</v>
      </c>
      <c r="F34" s="2">
        <f t="shared" si="9"/>
        <v>0</v>
      </c>
      <c r="G34" s="2" t="str">
        <f t="shared" si="9"/>
        <v>GBP</v>
      </c>
      <c r="H34" s="2">
        <f t="shared" ca="1" si="9"/>
        <v>117988.28466484387</v>
      </c>
      <c r="I34" s="2">
        <f t="shared" si="9"/>
        <v>0</v>
      </c>
      <c r="J34" s="2">
        <f t="shared" ca="1" si="9"/>
        <v>41400</v>
      </c>
      <c r="K34" s="2">
        <f t="shared" ca="1" si="9"/>
        <v>29400</v>
      </c>
      <c r="L34" s="2">
        <f t="shared" ca="1" si="9"/>
        <v>17400</v>
      </c>
      <c r="M34" s="2">
        <f t="shared" ca="1" si="9"/>
        <v>6494.1423324219286</v>
      </c>
      <c r="N34" s="2">
        <f t="shared" ca="1" si="9"/>
        <v>23294.142332421929</v>
      </c>
      <c r="O34" s="2">
        <f t="shared" ca="1" si="9"/>
        <v>0</v>
      </c>
      <c r="P34" s="2">
        <f t="shared" ca="1" si="9"/>
        <v>0</v>
      </c>
      <c r="Q34" s="2">
        <f t="shared" ca="1" si="9"/>
        <v>0</v>
      </c>
      <c r="R34" s="2">
        <f t="shared" ca="1" si="9"/>
        <v>0</v>
      </c>
      <c r="S34" s="2">
        <f t="shared" ca="1" si="9"/>
        <v>0</v>
      </c>
      <c r="T34" s="2">
        <f t="shared" ca="1" si="9"/>
        <v>0</v>
      </c>
      <c r="U34" s="2">
        <f t="shared" ca="1" si="9"/>
        <v>0</v>
      </c>
      <c r="V34" s="2">
        <f t="shared" ca="1" si="9"/>
        <v>0</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91" t="s">
        <v>300</v>
      </c>
      <c r="E35" s="2" t="str">
        <f t="shared" ref="E35:BQ35" si="10" xml:space="preserve">  E$27</f>
        <v>Tax losses utilised</v>
      </c>
      <c r="F35" s="2">
        <f t="shared" si="10"/>
        <v>0</v>
      </c>
      <c r="G35" s="2" t="str">
        <f t="shared" si="10"/>
        <v>GBP</v>
      </c>
      <c r="H35" s="2">
        <f t="shared" ca="1" si="10"/>
        <v>76588.284664843843</v>
      </c>
      <c r="I35" s="2">
        <f t="shared" si="10"/>
        <v>0</v>
      </c>
      <c r="J35" s="2">
        <f t="shared" ca="1" si="10"/>
        <v>0</v>
      </c>
      <c r="K35" s="2">
        <f t="shared" ca="1" si="10"/>
        <v>0</v>
      </c>
      <c r="L35" s="2">
        <f t="shared" ca="1" si="10"/>
        <v>0</v>
      </c>
      <c r="M35" s="2">
        <f t="shared" ca="1" si="10"/>
        <v>0</v>
      </c>
      <c r="N35" s="2">
        <f t="shared" ca="1" si="10"/>
        <v>0</v>
      </c>
      <c r="O35" s="2">
        <f t="shared" ca="1" si="10"/>
        <v>705.85766757807141</v>
      </c>
      <c r="P35" s="2">
        <f t="shared" ca="1" si="10"/>
        <v>47585.112058631741</v>
      </c>
      <c r="Q35" s="2">
        <f t="shared" ca="1" si="10"/>
        <v>28297.314938634037</v>
      </c>
      <c r="R35" s="2">
        <f t="shared" ca="1" si="10"/>
        <v>0</v>
      </c>
      <c r="S35" s="2">
        <f t="shared" ca="1" si="10"/>
        <v>0</v>
      </c>
      <c r="T35" s="2">
        <f t="shared" ca="1" si="10"/>
        <v>0</v>
      </c>
      <c r="U35" s="2">
        <f t="shared" ca="1" si="10"/>
        <v>0</v>
      </c>
      <c r="V35" s="2">
        <f t="shared" ca="1" si="10"/>
        <v>0</v>
      </c>
      <c r="W35" s="2">
        <f t="shared" ca="1" si="10"/>
        <v>0</v>
      </c>
      <c r="X35" s="2">
        <f t="shared" ca="1" si="10"/>
        <v>0</v>
      </c>
      <c r="Y35" s="2">
        <f t="shared" ca="1" si="10"/>
        <v>0</v>
      </c>
      <c r="Z35" s="2">
        <f t="shared" ca="1" si="10"/>
        <v>0</v>
      </c>
      <c r="AA35" s="2">
        <f t="shared" ca="1" si="10"/>
        <v>0</v>
      </c>
      <c r="AB35" s="2">
        <f t="shared" ca="1" si="10"/>
        <v>0</v>
      </c>
      <c r="AC35" s="2">
        <f t="shared" ca="1" si="10"/>
        <v>0</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1" customFormat="1" outlineLevel="1">
      <c r="A36" s="208"/>
      <c r="B36" s="208"/>
      <c r="C36" s="250"/>
      <c r="D36" s="240"/>
      <c r="E36" s="81" t="s">
        <v>84</v>
      </c>
      <c r="G36" s="81" t="s">
        <v>258</v>
      </c>
      <c r="I36" s="36">
        <f t="shared" ref="I36:BQ36" si="11" xml:space="preserve">  IF( I32 = 1, $F31, I33 + I34 - I35 )</f>
        <v>0</v>
      </c>
      <c r="J36" s="36">
        <f t="shared" si="11"/>
        <v>0</v>
      </c>
      <c r="K36" s="36">
        <f t="shared" ca="1" si="11"/>
        <v>29400</v>
      </c>
      <c r="L36" s="36">
        <f t="shared" ca="1" si="11"/>
        <v>46800</v>
      </c>
      <c r="M36" s="36">
        <f t="shared" ca="1" si="11"/>
        <v>53294.142332421929</v>
      </c>
      <c r="N36" s="36">
        <f t="shared" ca="1" si="11"/>
        <v>76588.284664843857</v>
      </c>
      <c r="O36" s="36">
        <f t="shared" ca="1" si="11"/>
        <v>75882.426997265778</v>
      </c>
      <c r="P36" s="36">
        <f t="shared" ca="1" si="11"/>
        <v>28297.314938634037</v>
      </c>
      <c r="Q36" s="36">
        <f t="shared" ca="1" si="11"/>
        <v>0</v>
      </c>
      <c r="R36" s="36">
        <f t="shared" ca="1" si="11"/>
        <v>0</v>
      </c>
      <c r="S36" s="36">
        <f t="shared" ca="1" si="11"/>
        <v>0</v>
      </c>
      <c r="T36" s="36">
        <f t="shared" ca="1" si="11"/>
        <v>0</v>
      </c>
      <c r="U36" s="36">
        <f t="shared" ca="1" si="11"/>
        <v>0</v>
      </c>
      <c r="V36" s="36">
        <f t="shared" ca="1" si="11"/>
        <v>0</v>
      </c>
      <c r="W36" s="36">
        <f t="shared" ca="1" si="11"/>
        <v>0</v>
      </c>
      <c r="X36" s="36">
        <f t="shared" ca="1" si="11"/>
        <v>0</v>
      </c>
      <c r="Y36" s="36">
        <f t="shared" ca="1" si="11"/>
        <v>0</v>
      </c>
      <c r="Z36" s="36">
        <f t="shared" ca="1" si="11"/>
        <v>0</v>
      </c>
      <c r="AA36" s="36">
        <f t="shared" ca="1" si="11"/>
        <v>0</v>
      </c>
      <c r="AB36" s="36">
        <f t="shared" ca="1" si="11"/>
        <v>0</v>
      </c>
      <c r="AC36" s="36">
        <f t="shared" ca="1" si="11"/>
        <v>0</v>
      </c>
      <c r="AD36" s="36">
        <f t="shared" ca="1" si="11"/>
        <v>0</v>
      </c>
      <c r="AE36" s="36">
        <f t="shared" ca="1" si="11"/>
        <v>0</v>
      </c>
      <c r="AF36" s="36">
        <f t="shared" ca="1" si="11"/>
        <v>0</v>
      </c>
      <c r="AG36" s="36">
        <f t="shared" ca="1" si="11"/>
        <v>0</v>
      </c>
      <c r="AH36" s="36">
        <f t="shared" ca="1" si="11"/>
        <v>0</v>
      </c>
      <c r="AI36" s="36">
        <f t="shared" ca="1" si="11"/>
        <v>0</v>
      </c>
      <c r="AJ36" s="36">
        <f t="shared" ca="1" si="11"/>
        <v>0</v>
      </c>
      <c r="AK36" s="36">
        <f t="shared" ca="1" si="11"/>
        <v>0</v>
      </c>
      <c r="AL36" s="36">
        <f t="shared" ca="1" si="11"/>
        <v>0</v>
      </c>
      <c r="AM36" s="36">
        <f t="shared" ca="1" si="11"/>
        <v>0</v>
      </c>
      <c r="AN36" s="36">
        <f t="shared" ca="1" si="11"/>
        <v>0</v>
      </c>
      <c r="AO36" s="36">
        <f t="shared" ca="1" si="11"/>
        <v>0</v>
      </c>
      <c r="AP36" s="36">
        <f t="shared" ca="1" si="11"/>
        <v>0</v>
      </c>
      <c r="AQ36" s="36">
        <f t="shared" ca="1" si="11"/>
        <v>0</v>
      </c>
      <c r="AR36" s="36">
        <f t="shared" ca="1" si="11"/>
        <v>0</v>
      </c>
      <c r="AS36" s="36">
        <f t="shared" ca="1" si="11"/>
        <v>0</v>
      </c>
      <c r="AT36" s="36">
        <f t="shared" ca="1" si="11"/>
        <v>0</v>
      </c>
      <c r="AU36" s="36">
        <f t="shared" ca="1" si="11"/>
        <v>0</v>
      </c>
      <c r="AV36" s="36">
        <f t="shared" ca="1" si="11"/>
        <v>0</v>
      </c>
      <c r="AW36" s="36">
        <f t="shared" ca="1" si="11"/>
        <v>0</v>
      </c>
      <c r="AX36" s="36">
        <f t="shared" ca="1" si="11"/>
        <v>0</v>
      </c>
      <c r="AY36" s="36">
        <f t="shared" ca="1" si="11"/>
        <v>0</v>
      </c>
      <c r="AZ36" s="36">
        <f t="shared" ca="1" si="11"/>
        <v>0</v>
      </c>
      <c r="BA36" s="36">
        <f t="shared" ca="1" si="11"/>
        <v>0</v>
      </c>
      <c r="BB36" s="36">
        <f t="shared" ca="1" si="11"/>
        <v>0</v>
      </c>
      <c r="BC36" s="36">
        <f t="shared" ca="1" si="11"/>
        <v>0</v>
      </c>
      <c r="BD36" s="36">
        <f t="shared" ca="1" si="11"/>
        <v>0</v>
      </c>
      <c r="BE36" s="36">
        <f t="shared" ca="1" si="11"/>
        <v>0</v>
      </c>
      <c r="BF36" s="36">
        <f t="shared" ca="1" si="11"/>
        <v>0</v>
      </c>
      <c r="BG36" s="36">
        <f t="shared" ca="1" si="11"/>
        <v>0</v>
      </c>
      <c r="BH36" s="36">
        <f t="shared" ca="1" si="11"/>
        <v>0</v>
      </c>
      <c r="BI36" s="36">
        <f t="shared" ca="1" si="11"/>
        <v>0</v>
      </c>
      <c r="BJ36" s="36">
        <f t="shared" ca="1" si="11"/>
        <v>0</v>
      </c>
      <c r="BK36" s="36">
        <f t="shared" ca="1" si="11"/>
        <v>0</v>
      </c>
      <c r="BL36" s="36">
        <f t="shared" ca="1" si="11"/>
        <v>0</v>
      </c>
      <c r="BM36" s="36">
        <f t="shared" ca="1" si="11"/>
        <v>0</v>
      </c>
      <c r="BN36" s="36">
        <f t="shared" ca="1" si="11"/>
        <v>0</v>
      </c>
      <c r="BO36" s="36">
        <f t="shared" ca="1" si="11"/>
        <v>0</v>
      </c>
      <c r="BP36" s="36">
        <f t="shared" ca="1" si="11"/>
        <v>0</v>
      </c>
      <c r="BQ36" s="36">
        <f t="shared" ca="1" si="11"/>
        <v>0</v>
      </c>
    </row>
    <row r="38" spans="1:69">
      <c r="B38" s="25" t="s">
        <v>137</v>
      </c>
    </row>
    <row r="39" spans="1:69" outlineLevel="1">
      <c r="E39" s="2" t="str">
        <f t="shared" ref="E39:BQ39" si="12" xml:space="preserve">  E$15</f>
        <v>Taxable income</v>
      </c>
      <c r="F39" s="2">
        <f t="shared" si="12"/>
        <v>0</v>
      </c>
      <c r="G39" s="2" t="str">
        <f t="shared" si="12"/>
        <v>GBP</v>
      </c>
      <c r="H39" s="2">
        <f t="shared" ca="1" si="12"/>
        <v>113166419.00745627</v>
      </c>
      <c r="I39" s="2">
        <f t="shared" si="12"/>
        <v>0</v>
      </c>
      <c r="J39" s="2">
        <f t="shared" ca="1" si="12"/>
        <v>0</v>
      </c>
      <c r="K39" s="2">
        <f t="shared" ca="1" si="12"/>
        <v>0</v>
      </c>
      <c r="L39" s="2">
        <f t="shared" ca="1" si="12"/>
        <v>0</v>
      </c>
      <c r="M39" s="2">
        <f t="shared" ca="1" si="12"/>
        <v>0</v>
      </c>
      <c r="N39" s="2">
        <f t="shared" ca="1" si="12"/>
        <v>0</v>
      </c>
      <c r="O39" s="2">
        <f t="shared" ca="1" si="12"/>
        <v>705.85766757807141</v>
      </c>
      <c r="P39" s="2">
        <f t="shared" ca="1" si="12"/>
        <v>47585.112058631741</v>
      </c>
      <c r="Q39" s="2">
        <f t="shared" ca="1" si="12"/>
        <v>54785.112058631741</v>
      </c>
      <c r="R39" s="2">
        <f t="shared" ca="1" si="12"/>
        <v>90785.112058631741</v>
      </c>
      <c r="S39" s="2">
        <f t="shared" ca="1" si="12"/>
        <v>89637.116333804879</v>
      </c>
      <c r="T39" s="2">
        <f t="shared" ca="1" si="12"/>
        <v>209637.11633380488</v>
      </c>
      <c r="U39" s="2">
        <f t="shared" ca="1" si="12"/>
        <v>209637.11633380488</v>
      </c>
      <c r="V39" s="2">
        <f t="shared" ca="1" si="12"/>
        <v>324218.65720613074</v>
      </c>
      <c r="W39" s="2">
        <f t="shared" ca="1" si="12"/>
        <v>407250.51818328281</v>
      </c>
      <c r="X39" s="2">
        <f t="shared" ca="1" si="12"/>
        <v>434877.08771980408</v>
      </c>
      <c r="Y39" s="2">
        <f t="shared" ca="1" si="12"/>
        <v>534845.11847299675</v>
      </c>
      <c r="Z39" s="2">
        <f t="shared" ca="1" si="12"/>
        <v>543183.02910490171</v>
      </c>
      <c r="AA39" s="2">
        <f t="shared" ca="1" si="12"/>
        <v>537468.1221142814</v>
      </c>
      <c r="AB39" s="2">
        <f t="shared" ca="1" si="12"/>
        <v>530182.15563180239</v>
      </c>
      <c r="AC39" s="2">
        <f t="shared" ca="1" si="12"/>
        <v>523767.3894252131</v>
      </c>
      <c r="AD39" s="2">
        <f t="shared" ca="1" si="12"/>
        <v>516971.1813703886</v>
      </c>
      <c r="AE39" s="2">
        <f t="shared" ca="1" si="12"/>
        <v>508505.65788947738</v>
      </c>
      <c r="AF39" s="2">
        <f t="shared" ca="1" si="12"/>
        <v>560877.17227552226</v>
      </c>
      <c r="AG39" s="2">
        <f t="shared" ca="1" si="12"/>
        <v>612795.07330168621</v>
      </c>
      <c r="AH39" s="2">
        <f t="shared" ca="1" si="12"/>
        <v>638022.57913402503</v>
      </c>
      <c r="AI39" s="2">
        <f t="shared" ca="1" si="12"/>
        <v>736950.72976521379</v>
      </c>
      <c r="AJ39" s="2">
        <f t="shared" ca="1" si="12"/>
        <v>835339.44016137172</v>
      </c>
      <c r="AK39" s="2">
        <f t="shared" ca="1" si="12"/>
        <v>871833.82878945291</v>
      </c>
      <c r="AL39" s="2">
        <f t="shared" ca="1" si="12"/>
        <v>919125.52097382967</v>
      </c>
      <c r="AM39" s="2">
        <f t="shared" ca="1" si="12"/>
        <v>991695.70699258882</v>
      </c>
      <c r="AN39" s="2">
        <f t="shared" ca="1" si="12"/>
        <v>1062231.3028188902</v>
      </c>
      <c r="AO39" s="2">
        <f t="shared" ca="1" si="12"/>
        <v>1083481.7704057116</v>
      </c>
      <c r="AP39" s="2">
        <f t="shared" ca="1" si="12"/>
        <v>1189889.3542960626</v>
      </c>
      <c r="AQ39" s="2">
        <f t="shared" ca="1" si="12"/>
        <v>1234097.3313214269</v>
      </c>
      <c r="AR39" s="2">
        <f t="shared" ca="1" si="12"/>
        <v>1338840.360093517</v>
      </c>
      <c r="AS39" s="2">
        <f t="shared" ca="1" si="12"/>
        <v>1442676.1621458447</v>
      </c>
      <c r="AT39" s="2">
        <f t="shared" ca="1" si="12"/>
        <v>1536754.7271950759</v>
      </c>
      <c r="AU39" s="2">
        <f t="shared" ca="1" si="12"/>
        <v>1687180.973342926</v>
      </c>
      <c r="AV39" s="2">
        <f t="shared" ca="1" si="12"/>
        <v>1832280.8869133494</v>
      </c>
      <c r="AW39" s="2">
        <f t="shared" ca="1" si="12"/>
        <v>1970282.3581022799</v>
      </c>
      <c r="AX39" s="2">
        <f t="shared" ca="1" si="12"/>
        <v>2163760.6127038007</v>
      </c>
      <c r="AY39" s="2">
        <f t="shared" ca="1" si="12"/>
        <v>2290904.7547073755</v>
      </c>
      <c r="AZ39" s="2">
        <f t="shared" ca="1" si="12"/>
        <v>2469847.3863620018</v>
      </c>
      <c r="BA39" s="2">
        <f t="shared" ca="1" si="12"/>
        <v>2703170.9688316225</v>
      </c>
      <c r="BB39" s="2">
        <f t="shared" ca="1" si="12"/>
        <v>2868961.9795325366</v>
      </c>
      <c r="BC39" s="2">
        <f t="shared" ca="1" si="12"/>
        <v>3085242.3798138076</v>
      </c>
      <c r="BD39" s="2">
        <f t="shared" ca="1" si="12"/>
        <v>3294597.8827836253</v>
      </c>
      <c r="BE39" s="2">
        <f t="shared" ca="1" si="12"/>
        <v>3554995.5978118279</v>
      </c>
      <c r="BF39" s="2">
        <f t="shared" ca="1" si="12"/>
        <v>3793590.1055832673</v>
      </c>
      <c r="BG39" s="2">
        <f t="shared" ca="1" si="12"/>
        <v>4023642.5978789674</v>
      </c>
      <c r="BH39" s="2">
        <f t="shared" ca="1" si="12"/>
        <v>4303042.4250198137</v>
      </c>
      <c r="BI39" s="2">
        <f t="shared" ca="1" si="12"/>
        <v>4569555.0170783419</v>
      </c>
      <c r="BJ39" s="2">
        <f t="shared" ca="1" si="12"/>
        <v>4864111.5262813838</v>
      </c>
      <c r="BK39" s="2">
        <f t="shared" ca="1" si="12"/>
        <v>5145999.8102885326</v>
      </c>
      <c r="BL39" s="2">
        <f t="shared" ca="1" si="12"/>
        <v>5472826.5390110593</v>
      </c>
      <c r="BM39" s="2">
        <f t="shared" ca="1" si="12"/>
        <v>5765473.7039503008</v>
      </c>
      <c r="BN39" s="2">
        <f t="shared" ca="1" si="12"/>
        <v>6103055.725352128</v>
      </c>
      <c r="BO39" s="2">
        <f t="shared" ca="1" si="12"/>
        <v>6483008.6048460854</v>
      </c>
      <c r="BP39" s="2">
        <f t="shared" ca="1" si="12"/>
        <v>6847719.6107857209</v>
      </c>
      <c r="BQ39" s="2">
        <f t="shared" ca="1" si="12"/>
        <v>7254515.0408421271</v>
      </c>
    </row>
    <row r="40" spans="1:69" outlineLevel="1">
      <c r="E40" s="2" t="str">
        <f t="shared" ref="E40:BQ40" si="13" xml:space="preserve">  E$27</f>
        <v>Tax losses utilised</v>
      </c>
      <c r="F40" s="2">
        <f t="shared" si="13"/>
        <v>0</v>
      </c>
      <c r="G40" s="2" t="str">
        <f t="shared" si="13"/>
        <v>GBP</v>
      </c>
      <c r="H40" s="2">
        <f t="shared" ca="1" si="13"/>
        <v>76588.284664843843</v>
      </c>
      <c r="I40" s="2">
        <f t="shared" si="13"/>
        <v>0</v>
      </c>
      <c r="J40" s="2">
        <f t="shared" ca="1" si="13"/>
        <v>0</v>
      </c>
      <c r="K40" s="2">
        <f t="shared" ca="1" si="13"/>
        <v>0</v>
      </c>
      <c r="L40" s="2">
        <f t="shared" ca="1" si="13"/>
        <v>0</v>
      </c>
      <c r="M40" s="2">
        <f t="shared" ca="1" si="13"/>
        <v>0</v>
      </c>
      <c r="N40" s="2">
        <f t="shared" ca="1" si="13"/>
        <v>0</v>
      </c>
      <c r="O40" s="2">
        <f t="shared" ca="1" si="13"/>
        <v>705.85766757807141</v>
      </c>
      <c r="P40" s="2">
        <f t="shared" ca="1" si="13"/>
        <v>47585.112058631741</v>
      </c>
      <c r="Q40" s="2">
        <f t="shared" ca="1" si="13"/>
        <v>28297.314938634037</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7" t="s">
        <v>137</v>
      </c>
      <c r="G41" s="47" t="s">
        <v>258</v>
      </c>
      <c r="H41" s="2">
        <f ca="1" xml:space="preserve"> SUM( J41:BQ41 )</f>
        <v>113089830.72279143</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0</v>
      </c>
      <c r="Q41" s="2">
        <f t="shared" ca="1" si="14"/>
        <v>26487.797119997704</v>
      </c>
      <c r="R41" s="2">
        <f t="shared" ca="1" si="14"/>
        <v>90785.112058631741</v>
      </c>
      <c r="S41" s="2">
        <f t="shared" ca="1" si="14"/>
        <v>89637.116333804879</v>
      </c>
      <c r="T41" s="2">
        <f t="shared" ca="1" si="14"/>
        <v>209637.11633380488</v>
      </c>
      <c r="U41" s="2">
        <f t="shared" ca="1" si="14"/>
        <v>209637.11633380488</v>
      </c>
      <c r="V41" s="2">
        <f t="shared" ca="1" si="14"/>
        <v>324218.65720613074</v>
      </c>
      <c r="W41" s="2">
        <f t="shared" ca="1" si="14"/>
        <v>407250.51818328281</v>
      </c>
      <c r="X41" s="2">
        <f t="shared" ca="1" si="14"/>
        <v>434877.08771980408</v>
      </c>
      <c r="Y41" s="2">
        <f t="shared" ca="1" si="14"/>
        <v>534845.11847299675</v>
      </c>
      <c r="Z41" s="2">
        <f t="shared" ca="1" si="14"/>
        <v>543183.02910490171</v>
      </c>
      <c r="AA41" s="2">
        <f t="shared" ca="1" si="14"/>
        <v>537468.1221142814</v>
      </c>
      <c r="AB41" s="2">
        <f t="shared" ca="1" si="14"/>
        <v>530182.15563180239</v>
      </c>
      <c r="AC41" s="2">
        <f t="shared" ca="1" si="14"/>
        <v>523767.3894252131</v>
      </c>
      <c r="AD41" s="2">
        <f t="shared" ca="1" si="14"/>
        <v>516971.1813703886</v>
      </c>
      <c r="AE41" s="2">
        <f t="shared" ca="1" si="14"/>
        <v>508505.65788947738</v>
      </c>
      <c r="AF41" s="2">
        <f t="shared" ca="1" si="14"/>
        <v>560877.17227552226</v>
      </c>
      <c r="AG41" s="2">
        <f t="shared" ca="1" si="14"/>
        <v>612795.07330168621</v>
      </c>
      <c r="AH41" s="2">
        <f t="shared" ca="1" si="14"/>
        <v>638022.57913402503</v>
      </c>
      <c r="AI41" s="2">
        <f t="shared" ca="1" si="14"/>
        <v>736950.72976521379</v>
      </c>
      <c r="AJ41" s="2">
        <f t="shared" ca="1" si="14"/>
        <v>835339.44016137172</v>
      </c>
      <c r="AK41" s="2">
        <f t="shared" ca="1" si="14"/>
        <v>871833.82878945291</v>
      </c>
      <c r="AL41" s="2">
        <f t="shared" ca="1" si="14"/>
        <v>919125.52097382967</v>
      </c>
      <c r="AM41" s="2">
        <f t="shared" ca="1" si="14"/>
        <v>991695.70699258882</v>
      </c>
      <c r="AN41" s="2">
        <f t="shared" ca="1" si="14"/>
        <v>1062231.3028188902</v>
      </c>
      <c r="AO41" s="2">
        <f t="shared" ca="1" si="14"/>
        <v>1083481.7704057116</v>
      </c>
      <c r="AP41" s="2">
        <f t="shared" ca="1" si="14"/>
        <v>1189889.3542960626</v>
      </c>
      <c r="AQ41" s="2">
        <f t="shared" ca="1" si="14"/>
        <v>1234097.3313214269</v>
      </c>
      <c r="AR41" s="2">
        <f t="shared" ca="1" si="14"/>
        <v>1338840.360093517</v>
      </c>
      <c r="AS41" s="2">
        <f t="shared" ca="1" si="14"/>
        <v>1442676.1621458447</v>
      </c>
      <c r="AT41" s="2">
        <f t="shared" ca="1" si="14"/>
        <v>1536754.7271950759</v>
      </c>
      <c r="AU41" s="2">
        <f t="shared" ca="1" si="14"/>
        <v>1687180.973342926</v>
      </c>
      <c r="AV41" s="2">
        <f t="shared" ca="1" si="14"/>
        <v>1832280.8869133494</v>
      </c>
      <c r="AW41" s="2">
        <f t="shared" ca="1" si="14"/>
        <v>1970282.3581022799</v>
      </c>
      <c r="AX41" s="2">
        <f t="shared" ca="1" si="14"/>
        <v>2163760.6127038007</v>
      </c>
      <c r="AY41" s="2">
        <f t="shared" ca="1" si="14"/>
        <v>2290904.7547073755</v>
      </c>
      <c r="AZ41" s="2">
        <f t="shared" ca="1" si="14"/>
        <v>2469847.3863620018</v>
      </c>
      <c r="BA41" s="2">
        <f t="shared" ca="1" si="14"/>
        <v>2703170.9688316225</v>
      </c>
      <c r="BB41" s="2">
        <f t="shared" ca="1" si="14"/>
        <v>2868961.9795325366</v>
      </c>
      <c r="BC41" s="2">
        <f t="shared" ca="1" si="14"/>
        <v>3085242.3798138076</v>
      </c>
      <c r="BD41" s="2">
        <f t="shared" ca="1" si="14"/>
        <v>3294597.8827836253</v>
      </c>
      <c r="BE41" s="2">
        <f t="shared" ca="1" si="14"/>
        <v>3554995.5978118279</v>
      </c>
      <c r="BF41" s="2">
        <f t="shared" ca="1" si="14"/>
        <v>3793590.1055832673</v>
      </c>
      <c r="BG41" s="2">
        <f t="shared" ca="1" si="14"/>
        <v>4023642.5978789674</v>
      </c>
      <c r="BH41" s="2">
        <f t="shared" ca="1" si="14"/>
        <v>4303042.4250198137</v>
      </c>
      <c r="BI41" s="2">
        <f t="shared" ca="1" si="14"/>
        <v>4569555.0170783419</v>
      </c>
      <c r="BJ41" s="2">
        <f t="shared" ca="1" si="14"/>
        <v>4864111.5262813838</v>
      </c>
      <c r="BK41" s="2">
        <f t="shared" ca="1" si="14"/>
        <v>5145999.8102885326</v>
      </c>
      <c r="BL41" s="2">
        <f t="shared" ca="1" si="14"/>
        <v>5472826.5390110593</v>
      </c>
      <c r="BM41" s="2">
        <f t="shared" ca="1" si="14"/>
        <v>5765473.7039503008</v>
      </c>
      <c r="BN41" s="2">
        <f t="shared" ca="1" si="14"/>
        <v>6103055.725352128</v>
      </c>
      <c r="BO41" s="2">
        <f t="shared" ca="1" si="14"/>
        <v>6483008.6048460854</v>
      </c>
      <c r="BP41" s="2">
        <f t="shared" ca="1" si="14"/>
        <v>6847719.6107857209</v>
      </c>
      <c r="BQ41" s="2">
        <f t="shared" ca="1" si="14"/>
        <v>7254515.0408421271</v>
      </c>
    </row>
    <row r="44" spans="1:69">
      <c r="B44" s="25" t="s">
        <v>269</v>
      </c>
    </row>
    <row r="45" spans="1:69" outlineLevel="1">
      <c r="A45" s="18"/>
      <c r="B45" s="18"/>
      <c r="C45" s="28"/>
      <c r="D45" s="27"/>
      <c r="E45" s="42" t="str">
        <f xml:space="preserve">  InpC!E$89</f>
        <v>Corporation tax rate</v>
      </c>
      <c r="F45" s="42">
        <f xml:space="preserve">  InpC!F$89</f>
        <v>0.2</v>
      </c>
      <c r="G45" s="42" t="str">
        <f xml:space="preserve">  InpC!G$89</f>
        <v>%</v>
      </c>
      <c r="M45" s="57"/>
    </row>
    <row r="46" spans="1:69" outlineLevel="1">
      <c r="E46" s="2" t="str">
        <f t="shared" ref="E46:BQ46" si="15" xml:space="preserve">  E$41</f>
        <v>Taxable income net of tax losses utilised</v>
      </c>
      <c r="F46" s="2">
        <f t="shared" si="15"/>
        <v>0</v>
      </c>
      <c r="G46" s="2" t="str">
        <f t="shared" si="15"/>
        <v>GBP</v>
      </c>
      <c r="H46" s="2">
        <f t="shared" ca="1" si="15"/>
        <v>113089830.72279143</v>
      </c>
      <c r="I46" s="2">
        <f t="shared" si="15"/>
        <v>0</v>
      </c>
      <c r="J46" s="2">
        <f t="shared" ca="1" si="15"/>
        <v>0</v>
      </c>
      <c r="K46" s="2">
        <f t="shared" ca="1" si="15"/>
        <v>0</v>
      </c>
      <c r="L46" s="2">
        <f t="shared" ca="1" si="15"/>
        <v>0</v>
      </c>
      <c r="M46" s="2">
        <f t="shared" ca="1" si="15"/>
        <v>0</v>
      </c>
      <c r="N46" s="2">
        <f t="shared" ca="1" si="15"/>
        <v>0</v>
      </c>
      <c r="O46" s="2">
        <f t="shared" ca="1" si="15"/>
        <v>0</v>
      </c>
      <c r="P46" s="2">
        <f t="shared" ca="1" si="15"/>
        <v>0</v>
      </c>
      <c r="Q46" s="2">
        <f t="shared" ca="1" si="15"/>
        <v>26487.797119997704</v>
      </c>
      <c r="R46" s="2">
        <f t="shared" ca="1" si="15"/>
        <v>90785.112058631741</v>
      </c>
      <c r="S46" s="2">
        <f t="shared" ca="1" si="15"/>
        <v>89637.116333804879</v>
      </c>
      <c r="T46" s="2">
        <f t="shared" ca="1" si="15"/>
        <v>209637.11633380488</v>
      </c>
      <c r="U46" s="2">
        <f t="shared" ca="1" si="15"/>
        <v>209637.11633380488</v>
      </c>
      <c r="V46" s="2">
        <f t="shared" ca="1" si="15"/>
        <v>324218.65720613074</v>
      </c>
      <c r="W46" s="2">
        <f t="shared" ca="1" si="15"/>
        <v>407250.51818328281</v>
      </c>
      <c r="X46" s="2">
        <f t="shared" ca="1" si="15"/>
        <v>434877.08771980408</v>
      </c>
      <c r="Y46" s="2">
        <f t="shared" ca="1" si="15"/>
        <v>534845.11847299675</v>
      </c>
      <c r="Z46" s="2">
        <f t="shared" ca="1" si="15"/>
        <v>543183.02910490171</v>
      </c>
      <c r="AA46" s="2">
        <f t="shared" ca="1" si="15"/>
        <v>537468.1221142814</v>
      </c>
      <c r="AB46" s="2">
        <f t="shared" ca="1" si="15"/>
        <v>530182.15563180239</v>
      </c>
      <c r="AC46" s="2">
        <f t="shared" ca="1" si="15"/>
        <v>523767.3894252131</v>
      </c>
      <c r="AD46" s="2">
        <f t="shared" ca="1" si="15"/>
        <v>516971.1813703886</v>
      </c>
      <c r="AE46" s="2">
        <f t="shared" ca="1" si="15"/>
        <v>508505.65788947738</v>
      </c>
      <c r="AF46" s="2">
        <f t="shared" ca="1" si="15"/>
        <v>560877.17227552226</v>
      </c>
      <c r="AG46" s="2">
        <f t="shared" ca="1" si="15"/>
        <v>612795.07330168621</v>
      </c>
      <c r="AH46" s="2">
        <f t="shared" ca="1" si="15"/>
        <v>638022.57913402503</v>
      </c>
      <c r="AI46" s="2">
        <f t="shared" ca="1" si="15"/>
        <v>736950.72976521379</v>
      </c>
      <c r="AJ46" s="2">
        <f t="shared" ca="1" si="15"/>
        <v>835339.44016137172</v>
      </c>
      <c r="AK46" s="2">
        <f t="shared" ca="1" si="15"/>
        <v>871833.82878945291</v>
      </c>
      <c r="AL46" s="2">
        <f t="shared" ca="1" si="15"/>
        <v>919125.52097382967</v>
      </c>
      <c r="AM46" s="2">
        <f t="shared" ca="1" si="15"/>
        <v>991695.70699258882</v>
      </c>
      <c r="AN46" s="2">
        <f t="shared" ca="1" si="15"/>
        <v>1062231.3028188902</v>
      </c>
      <c r="AO46" s="2">
        <f t="shared" ca="1" si="15"/>
        <v>1083481.7704057116</v>
      </c>
      <c r="AP46" s="2">
        <f t="shared" ca="1" si="15"/>
        <v>1189889.3542960626</v>
      </c>
      <c r="AQ46" s="2">
        <f t="shared" ca="1" si="15"/>
        <v>1234097.3313214269</v>
      </c>
      <c r="AR46" s="2">
        <f t="shared" ca="1" si="15"/>
        <v>1338840.360093517</v>
      </c>
      <c r="AS46" s="2">
        <f t="shared" ca="1" si="15"/>
        <v>1442676.1621458447</v>
      </c>
      <c r="AT46" s="2">
        <f t="shared" ca="1" si="15"/>
        <v>1536754.7271950759</v>
      </c>
      <c r="AU46" s="2">
        <f t="shared" ca="1" si="15"/>
        <v>1687180.973342926</v>
      </c>
      <c r="AV46" s="2">
        <f t="shared" ca="1" si="15"/>
        <v>1832280.8869133494</v>
      </c>
      <c r="AW46" s="2">
        <f t="shared" ca="1" si="15"/>
        <v>1970282.3581022799</v>
      </c>
      <c r="AX46" s="2">
        <f t="shared" ca="1" si="15"/>
        <v>2163760.6127038007</v>
      </c>
      <c r="AY46" s="2">
        <f t="shared" ca="1" si="15"/>
        <v>2290904.7547073755</v>
      </c>
      <c r="AZ46" s="2">
        <f t="shared" ca="1" si="15"/>
        <v>2469847.3863620018</v>
      </c>
      <c r="BA46" s="2">
        <f t="shared" ca="1" si="15"/>
        <v>2703170.9688316225</v>
      </c>
      <c r="BB46" s="2">
        <f t="shared" ca="1" si="15"/>
        <v>2868961.9795325366</v>
      </c>
      <c r="BC46" s="2">
        <f t="shared" ca="1" si="15"/>
        <v>3085242.3798138076</v>
      </c>
      <c r="BD46" s="2">
        <f t="shared" ca="1" si="15"/>
        <v>3294597.8827836253</v>
      </c>
      <c r="BE46" s="2">
        <f t="shared" ca="1" si="15"/>
        <v>3554995.5978118279</v>
      </c>
      <c r="BF46" s="2">
        <f t="shared" ca="1" si="15"/>
        <v>3793590.1055832673</v>
      </c>
      <c r="BG46" s="2">
        <f t="shared" ca="1" si="15"/>
        <v>4023642.5978789674</v>
      </c>
      <c r="BH46" s="2">
        <f t="shared" ca="1" si="15"/>
        <v>4303042.4250198137</v>
      </c>
      <c r="BI46" s="2">
        <f t="shared" ca="1" si="15"/>
        <v>4569555.0170783419</v>
      </c>
      <c r="BJ46" s="2">
        <f t="shared" ca="1" si="15"/>
        <v>4864111.5262813838</v>
      </c>
      <c r="BK46" s="2">
        <f t="shared" ca="1" si="15"/>
        <v>5145999.8102885326</v>
      </c>
      <c r="BL46" s="2">
        <f t="shared" ca="1" si="15"/>
        <v>5472826.5390110593</v>
      </c>
      <c r="BM46" s="2">
        <f t="shared" ca="1" si="15"/>
        <v>5765473.7039503008</v>
      </c>
      <c r="BN46" s="2">
        <f t="shared" ca="1" si="15"/>
        <v>6103055.725352128</v>
      </c>
      <c r="BO46" s="2">
        <f t="shared" ca="1" si="15"/>
        <v>6483008.6048460854</v>
      </c>
      <c r="BP46" s="2">
        <f t="shared" ca="1" si="15"/>
        <v>6847719.6107857209</v>
      </c>
      <c r="BQ46" s="2">
        <f t="shared" ca="1" si="15"/>
        <v>7254515.0408421271</v>
      </c>
    </row>
    <row r="47" spans="1:69" outlineLevel="1">
      <c r="E47" s="47" t="s">
        <v>65</v>
      </c>
      <c r="G47" s="47" t="s">
        <v>258</v>
      </c>
      <c r="H47" s="2">
        <f t="shared" ref="H47:H48" ca="1" si="16" xml:space="preserve"> SUM( J47:BQ47 )</f>
        <v>22617966.144558292</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0</v>
      </c>
      <c r="Q47" s="2">
        <f t="shared" ca="1" si="17"/>
        <v>5297.5594239995407</v>
      </c>
      <c r="R47" s="2">
        <f t="shared" ca="1" si="17"/>
        <v>18157.02241172635</v>
      </c>
      <c r="S47" s="2">
        <f t="shared" ca="1" si="17"/>
        <v>17927.423266760976</v>
      </c>
      <c r="T47" s="2">
        <f t="shared" ca="1" si="17"/>
        <v>41927.423266760976</v>
      </c>
      <c r="U47" s="2">
        <f t="shared" ca="1" si="17"/>
        <v>41927.423266760976</v>
      </c>
      <c r="V47" s="2">
        <f t="shared" ca="1" si="17"/>
        <v>64843.731441226148</v>
      </c>
      <c r="W47" s="2">
        <f t="shared" ca="1" si="17"/>
        <v>81450.103636656568</v>
      </c>
      <c r="X47" s="2">
        <f t="shared" ca="1" si="17"/>
        <v>86975.417543960823</v>
      </c>
      <c r="Y47" s="2">
        <f t="shared" ca="1" si="17"/>
        <v>106969.02369459935</v>
      </c>
      <c r="Z47" s="2">
        <f t="shared" ca="1" si="17"/>
        <v>108636.60582098035</v>
      </c>
      <c r="AA47" s="2">
        <f t="shared" ca="1" si="17"/>
        <v>107493.62442285629</v>
      </c>
      <c r="AB47" s="2">
        <f t="shared" ca="1" si="17"/>
        <v>106036.43112636049</v>
      </c>
      <c r="AC47" s="2">
        <f t="shared" ca="1" si="17"/>
        <v>104753.47788504262</v>
      </c>
      <c r="AD47" s="2">
        <f t="shared" ca="1" si="17"/>
        <v>103394.23627407773</v>
      </c>
      <c r="AE47" s="2">
        <f t="shared" ca="1" si="17"/>
        <v>101701.13157789549</v>
      </c>
      <c r="AF47" s="2">
        <f t="shared" ca="1" si="17"/>
        <v>112175.43445510446</v>
      </c>
      <c r="AG47" s="2">
        <f t="shared" ca="1" si="17"/>
        <v>122559.01466033724</v>
      </c>
      <c r="AH47" s="2">
        <f t="shared" ca="1" si="17"/>
        <v>127604.51582680501</v>
      </c>
      <c r="AI47" s="2">
        <f t="shared" ca="1" si="17"/>
        <v>147390.14595304275</v>
      </c>
      <c r="AJ47" s="2">
        <f t="shared" ca="1" si="17"/>
        <v>167067.88803227435</v>
      </c>
      <c r="AK47" s="2">
        <f t="shared" ca="1" si="17"/>
        <v>174366.76575789059</v>
      </c>
      <c r="AL47" s="2">
        <f t="shared" ca="1" si="17"/>
        <v>183825.10419476594</v>
      </c>
      <c r="AM47" s="2">
        <f t="shared" ca="1" si="17"/>
        <v>198339.14139851776</v>
      </c>
      <c r="AN47" s="2">
        <f t="shared" ca="1" si="17"/>
        <v>212446.26056377805</v>
      </c>
      <c r="AO47" s="2">
        <f t="shared" ca="1" si="17"/>
        <v>216696.35408114234</v>
      </c>
      <c r="AP47" s="2">
        <f t="shared" ca="1" si="17"/>
        <v>237977.87085921253</v>
      </c>
      <c r="AQ47" s="2">
        <f t="shared" ca="1" si="17"/>
        <v>246819.46626428538</v>
      </c>
      <c r="AR47" s="2">
        <f t="shared" ca="1" si="17"/>
        <v>267768.07201870339</v>
      </c>
      <c r="AS47" s="2">
        <f t="shared" ca="1" si="17"/>
        <v>288535.23242916894</v>
      </c>
      <c r="AT47" s="2">
        <f t="shared" ca="1" si="17"/>
        <v>307350.94543901522</v>
      </c>
      <c r="AU47" s="2">
        <f t="shared" ca="1" si="17"/>
        <v>337436.1946685852</v>
      </c>
      <c r="AV47" s="2">
        <f t="shared" ca="1" si="17"/>
        <v>366456.17738266988</v>
      </c>
      <c r="AW47" s="2">
        <f t="shared" ca="1" si="17"/>
        <v>394056.47162045602</v>
      </c>
      <c r="AX47" s="2">
        <f t="shared" ca="1" si="17"/>
        <v>432752.12254076015</v>
      </c>
      <c r="AY47" s="2">
        <f t="shared" ca="1" si="17"/>
        <v>458180.95094147511</v>
      </c>
      <c r="AZ47" s="2">
        <f t="shared" ca="1" si="17"/>
        <v>493969.4772724004</v>
      </c>
      <c r="BA47" s="2">
        <f t="shared" ca="1" si="17"/>
        <v>540634.19376632455</v>
      </c>
      <c r="BB47" s="2">
        <f t="shared" ca="1" si="17"/>
        <v>573792.39590650739</v>
      </c>
      <c r="BC47" s="2">
        <f t="shared" ca="1" si="17"/>
        <v>617048.47596276156</v>
      </c>
      <c r="BD47" s="2">
        <f t="shared" ca="1" si="17"/>
        <v>658919.57655672508</v>
      </c>
      <c r="BE47" s="2">
        <f t="shared" ca="1" si="17"/>
        <v>710999.11956236558</v>
      </c>
      <c r="BF47" s="2">
        <f t="shared" ca="1" si="17"/>
        <v>758718.02111665346</v>
      </c>
      <c r="BG47" s="2">
        <f t="shared" ca="1" si="17"/>
        <v>804728.51957579353</v>
      </c>
      <c r="BH47" s="2">
        <f t="shared" ca="1" si="17"/>
        <v>860608.48500396276</v>
      </c>
      <c r="BI47" s="2">
        <f t="shared" ca="1" si="17"/>
        <v>913911.00341566838</v>
      </c>
      <c r="BJ47" s="2">
        <f t="shared" ca="1" si="17"/>
        <v>972822.30525627686</v>
      </c>
      <c r="BK47" s="2">
        <f t="shared" ca="1" si="17"/>
        <v>1029199.9620577066</v>
      </c>
      <c r="BL47" s="2">
        <f t="shared" ca="1" si="17"/>
        <v>1094565.307802212</v>
      </c>
      <c r="BM47" s="2">
        <f t="shared" ca="1" si="17"/>
        <v>1153094.7407900603</v>
      </c>
      <c r="BN47" s="2">
        <f t="shared" ca="1" si="17"/>
        <v>1220611.1450704257</v>
      </c>
      <c r="BO47" s="2">
        <f t="shared" ca="1" si="17"/>
        <v>1296601.7209692171</v>
      </c>
      <c r="BP47" s="2">
        <f t="shared" ca="1" si="17"/>
        <v>1369543.9221571442</v>
      </c>
      <c r="BQ47" s="2">
        <f t="shared" ca="1" si="17"/>
        <v>1450903.0081684254</v>
      </c>
    </row>
    <row r="48" spans="1:69" outlineLevel="1">
      <c r="A48" s="34"/>
      <c r="B48" s="34"/>
      <c r="C48" s="64"/>
      <c r="D48" s="65"/>
      <c r="E48" s="21" t="str">
        <f xml:space="preserve"> LEFT($E$47, LEN($E$47) - 3 )</f>
        <v xml:space="preserve">Corporation tax </v>
      </c>
      <c r="F48" s="21"/>
      <c r="G48" s="21" t="str">
        <f xml:space="preserve"> G$47</f>
        <v>GBP</v>
      </c>
      <c r="H48" s="3">
        <f t="shared" ca="1" si="16"/>
        <v>-22617966.144558292</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0</v>
      </c>
      <c r="Q48" s="3">
        <f t="shared" ca="1" si="18"/>
        <v>-5297.5594239995407</v>
      </c>
      <c r="R48" s="3">
        <f t="shared" ca="1" si="18"/>
        <v>-18157.02241172635</v>
      </c>
      <c r="S48" s="3">
        <f t="shared" ca="1" si="18"/>
        <v>-17927.423266760976</v>
      </c>
      <c r="T48" s="3">
        <f t="shared" ca="1" si="18"/>
        <v>-41927.423266760976</v>
      </c>
      <c r="U48" s="3">
        <f t="shared" ca="1" si="18"/>
        <v>-41927.423266760976</v>
      </c>
      <c r="V48" s="3">
        <f t="shared" ca="1" si="18"/>
        <v>-64843.731441226148</v>
      </c>
      <c r="W48" s="3">
        <f t="shared" ca="1" si="18"/>
        <v>-81450.103636656568</v>
      </c>
      <c r="X48" s="3">
        <f t="shared" ca="1" si="18"/>
        <v>-86975.417543960823</v>
      </c>
      <c r="Y48" s="3">
        <f t="shared" ca="1" si="18"/>
        <v>-106969.02369459935</v>
      </c>
      <c r="Z48" s="3">
        <f t="shared" ca="1" si="18"/>
        <v>-108636.60582098035</v>
      </c>
      <c r="AA48" s="3">
        <f t="shared" ca="1" si="18"/>
        <v>-107493.62442285629</v>
      </c>
      <c r="AB48" s="3">
        <f t="shared" ca="1" si="18"/>
        <v>-106036.43112636049</v>
      </c>
      <c r="AC48" s="3">
        <f t="shared" ca="1" si="18"/>
        <v>-104753.47788504262</v>
      </c>
      <c r="AD48" s="3">
        <f t="shared" ca="1" si="18"/>
        <v>-103394.23627407773</v>
      </c>
      <c r="AE48" s="3">
        <f t="shared" ca="1" si="18"/>
        <v>-101701.13157789549</v>
      </c>
      <c r="AF48" s="3">
        <f t="shared" ca="1" si="18"/>
        <v>-112175.43445510446</v>
      </c>
      <c r="AG48" s="3">
        <f t="shared" ca="1" si="18"/>
        <v>-122559.01466033724</v>
      </c>
      <c r="AH48" s="3">
        <f t="shared" ca="1" si="18"/>
        <v>-127604.51582680501</v>
      </c>
      <c r="AI48" s="3">
        <f t="shared" ca="1" si="18"/>
        <v>-147390.14595304275</v>
      </c>
      <c r="AJ48" s="3">
        <f t="shared" ca="1" si="18"/>
        <v>-167067.88803227435</v>
      </c>
      <c r="AK48" s="3">
        <f t="shared" ca="1" si="18"/>
        <v>-174366.76575789059</v>
      </c>
      <c r="AL48" s="3">
        <f t="shared" ca="1" si="18"/>
        <v>-183825.10419476594</v>
      </c>
      <c r="AM48" s="3">
        <f t="shared" ca="1" si="18"/>
        <v>-198339.14139851776</v>
      </c>
      <c r="AN48" s="3">
        <f t="shared" ca="1" si="18"/>
        <v>-212446.26056377805</v>
      </c>
      <c r="AO48" s="3">
        <f t="shared" ca="1" si="18"/>
        <v>-216696.35408114234</v>
      </c>
      <c r="AP48" s="3">
        <f t="shared" ca="1" si="18"/>
        <v>-237977.87085921253</v>
      </c>
      <c r="AQ48" s="3">
        <f t="shared" ca="1" si="18"/>
        <v>-246819.46626428538</v>
      </c>
      <c r="AR48" s="3">
        <f t="shared" ca="1" si="18"/>
        <v>-267768.07201870339</v>
      </c>
      <c r="AS48" s="3">
        <f t="shared" ca="1" si="18"/>
        <v>-288535.23242916894</v>
      </c>
      <c r="AT48" s="3">
        <f t="shared" ca="1" si="18"/>
        <v>-307350.94543901522</v>
      </c>
      <c r="AU48" s="3">
        <f t="shared" ca="1" si="18"/>
        <v>-337436.1946685852</v>
      </c>
      <c r="AV48" s="3">
        <f t="shared" ca="1" si="18"/>
        <v>-366456.17738266988</v>
      </c>
      <c r="AW48" s="3">
        <f t="shared" ca="1" si="18"/>
        <v>-394056.47162045602</v>
      </c>
      <c r="AX48" s="3">
        <f t="shared" ca="1" si="18"/>
        <v>-432752.12254076015</v>
      </c>
      <c r="AY48" s="3">
        <f t="shared" ca="1" si="18"/>
        <v>-458180.95094147511</v>
      </c>
      <c r="AZ48" s="3">
        <f t="shared" ca="1" si="18"/>
        <v>-493969.4772724004</v>
      </c>
      <c r="BA48" s="3">
        <f t="shared" ca="1" si="18"/>
        <v>-540634.19376632455</v>
      </c>
      <c r="BB48" s="3">
        <f t="shared" ca="1" si="18"/>
        <v>-573792.39590650739</v>
      </c>
      <c r="BC48" s="3">
        <f t="shared" ca="1" si="18"/>
        <v>-617048.47596276156</v>
      </c>
      <c r="BD48" s="3">
        <f t="shared" ca="1" si="18"/>
        <v>-658919.57655672508</v>
      </c>
      <c r="BE48" s="3">
        <f t="shared" ca="1" si="18"/>
        <v>-710999.11956236558</v>
      </c>
      <c r="BF48" s="3">
        <f t="shared" ca="1" si="18"/>
        <v>-758718.02111665346</v>
      </c>
      <c r="BG48" s="3">
        <f t="shared" ca="1" si="18"/>
        <v>-804728.51957579353</v>
      </c>
      <c r="BH48" s="3">
        <f t="shared" ca="1" si="18"/>
        <v>-860608.48500396276</v>
      </c>
      <c r="BI48" s="3">
        <f t="shared" ca="1" si="18"/>
        <v>-913911.00341566838</v>
      </c>
      <c r="BJ48" s="3">
        <f t="shared" ca="1" si="18"/>
        <v>-972822.30525627686</v>
      </c>
      <c r="BK48" s="3">
        <f t="shared" ca="1" si="18"/>
        <v>-1029199.9620577066</v>
      </c>
      <c r="BL48" s="3">
        <f t="shared" ca="1" si="18"/>
        <v>-1094565.307802212</v>
      </c>
      <c r="BM48" s="3">
        <f t="shared" ca="1" si="18"/>
        <v>-1153094.7407900603</v>
      </c>
      <c r="BN48" s="3">
        <f t="shared" ca="1" si="18"/>
        <v>-1220611.1450704257</v>
      </c>
      <c r="BO48" s="3">
        <f t="shared" ca="1" si="18"/>
        <v>-1296601.7209692171</v>
      </c>
      <c r="BP48" s="3">
        <f t="shared" ca="1" si="18"/>
        <v>-1369543.9221571442</v>
      </c>
      <c r="BQ48" s="3">
        <f t="shared" ca="1" si="18"/>
        <v>-1450903.0081684254</v>
      </c>
    </row>
    <row r="51" spans="1:69">
      <c r="B51" s="25" t="s">
        <v>224</v>
      </c>
    </row>
    <row r="52" spans="1:69" outlineLevel="1">
      <c r="A52" s="18"/>
      <c r="B52" s="18"/>
      <c r="C52" s="28"/>
      <c r="D52" s="27"/>
      <c r="E52" s="4" t="str">
        <f xml:space="preserve">  InpC!E$91</f>
        <v>Month corporation tax paid</v>
      </c>
      <c r="F52" s="4">
        <f xml:space="preserve">  InpC!F$91</f>
        <v>8</v>
      </c>
      <c r="G52" s="4">
        <f xml:space="preserve">  InpC!G$91</f>
        <v>0</v>
      </c>
      <c r="M52" s="2"/>
    </row>
    <row r="53" spans="1:69" outlineLevel="1">
      <c r="A53" s="18"/>
      <c r="B53" s="18"/>
      <c r="C53" s="28"/>
      <c r="D53" s="27"/>
      <c r="E53" s="20" t="str">
        <f xml:space="preserve">  Time!E$12</f>
        <v>Model period start</v>
      </c>
      <c r="F53" s="20">
        <f xml:space="preserve">  Time!F$12</f>
        <v>0</v>
      </c>
      <c r="G53" s="20" t="str">
        <f xml:space="preserve">  Time!G$12</f>
        <v>date</v>
      </c>
      <c r="H53" s="20">
        <f xml:space="preserve">  Time!H$12</f>
        <v>0</v>
      </c>
      <c r="I53" s="20">
        <f xml:space="preserve">  Time!I$12</f>
        <v>0</v>
      </c>
      <c r="J53" s="20">
        <f xml:space="preserve">  Time!J$12</f>
        <v>45047</v>
      </c>
      <c r="K53" s="20">
        <f xml:space="preserve">  Time!K$12</f>
        <v>45078</v>
      </c>
      <c r="L53" s="20">
        <f xml:space="preserve">  Time!L$12</f>
        <v>45108</v>
      </c>
      <c r="M53" s="20">
        <f xml:space="preserve">  Time!M$12</f>
        <v>45139</v>
      </c>
      <c r="N53" s="20">
        <f xml:space="preserve">  Time!N$12</f>
        <v>45170</v>
      </c>
      <c r="O53" s="20">
        <f xml:space="preserve">  Time!O$12</f>
        <v>45200</v>
      </c>
      <c r="P53" s="20">
        <f xml:space="preserve">  Time!P$12</f>
        <v>45231</v>
      </c>
      <c r="Q53" s="20">
        <f xml:space="preserve">  Time!Q$12</f>
        <v>45261</v>
      </c>
      <c r="R53" s="20">
        <f xml:space="preserve">  Time!R$12</f>
        <v>45292</v>
      </c>
      <c r="S53" s="20">
        <f xml:space="preserve">  Time!S$12</f>
        <v>45323</v>
      </c>
      <c r="T53" s="20">
        <f xml:space="preserve">  Time!T$12</f>
        <v>45352</v>
      </c>
      <c r="U53" s="20">
        <f xml:space="preserve">  Time!U$12</f>
        <v>45383</v>
      </c>
      <c r="V53" s="20">
        <f xml:space="preserve">  Time!V$12</f>
        <v>45413</v>
      </c>
      <c r="W53" s="20">
        <f xml:space="preserve">  Time!W$12</f>
        <v>45444</v>
      </c>
      <c r="X53" s="20">
        <f xml:space="preserve">  Time!X$12</f>
        <v>45474</v>
      </c>
      <c r="Y53" s="20">
        <f xml:space="preserve">  Time!Y$12</f>
        <v>45505</v>
      </c>
      <c r="Z53" s="20">
        <f xml:space="preserve">  Time!Z$12</f>
        <v>45536</v>
      </c>
      <c r="AA53" s="20">
        <f xml:space="preserve">  Time!AA$12</f>
        <v>45566</v>
      </c>
      <c r="AB53" s="20">
        <f xml:space="preserve">  Time!AB$12</f>
        <v>45597</v>
      </c>
      <c r="AC53" s="20">
        <f xml:space="preserve">  Time!AC$12</f>
        <v>45627</v>
      </c>
      <c r="AD53" s="20">
        <f xml:space="preserve">  Time!AD$12</f>
        <v>45658</v>
      </c>
      <c r="AE53" s="20">
        <f xml:space="preserve">  Time!AE$12</f>
        <v>45689</v>
      </c>
      <c r="AF53" s="20">
        <f xml:space="preserve">  Time!AF$12</f>
        <v>45717</v>
      </c>
      <c r="AG53" s="20">
        <f xml:space="preserve">  Time!AG$12</f>
        <v>45748</v>
      </c>
      <c r="AH53" s="20">
        <f xml:space="preserve">  Time!AH$12</f>
        <v>45778</v>
      </c>
      <c r="AI53" s="20">
        <f xml:space="preserve">  Time!AI$12</f>
        <v>45809</v>
      </c>
      <c r="AJ53" s="20">
        <f xml:space="preserve">  Time!AJ$12</f>
        <v>45839</v>
      </c>
      <c r="AK53" s="20">
        <f xml:space="preserve">  Time!AK$12</f>
        <v>45870</v>
      </c>
      <c r="AL53" s="20">
        <f xml:space="preserve">  Time!AL$12</f>
        <v>45901</v>
      </c>
      <c r="AM53" s="20">
        <f xml:space="preserve">  Time!AM$12</f>
        <v>45931</v>
      </c>
      <c r="AN53" s="20">
        <f xml:space="preserve">  Time!AN$12</f>
        <v>45962</v>
      </c>
      <c r="AO53" s="20">
        <f xml:space="preserve">  Time!AO$12</f>
        <v>45992</v>
      </c>
      <c r="AP53" s="20">
        <f xml:space="preserve">  Time!AP$12</f>
        <v>46023</v>
      </c>
      <c r="AQ53" s="20">
        <f xml:space="preserve">  Time!AQ$12</f>
        <v>46054</v>
      </c>
      <c r="AR53" s="20">
        <f xml:space="preserve">  Time!AR$12</f>
        <v>46082</v>
      </c>
      <c r="AS53" s="20">
        <f xml:space="preserve">  Time!AS$12</f>
        <v>46113</v>
      </c>
      <c r="AT53" s="20">
        <f xml:space="preserve">  Time!AT$12</f>
        <v>46143</v>
      </c>
      <c r="AU53" s="20">
        <f xml:space="preserve">  Time!AU$12</f>
        <v>46174</v>
      </c>
      <c r="AV53" s="20">
        <f xml:space="preserve">  Time!AV$12</f>
        <v>46204</v>
      </c>
      <c r="AW53" s="20">
        <f xml:space="preserve">  Time!AW$12</f>
        <v>46235</v>
      </c>
      <c r="AX53" s="20">
        <f xml:space="preserve">  Time!AX$12</f>
        <v>46266</v>
      </c>
      <c r="AY53" s="20">
        <f xml:space="preserve">  Time!AY$12</f>
        <v>46296</v>
      </c>
      <c r="AZ53" s="20">
        <f xml:space="preserve">  Time!AZ$12</f>
        <v>46327</v>
      </c>
      <c r="BA53" s="20">
        <f xml:space="preserve">  Time!BA$12</f>
        <v>46357</v>
      </c>
      <c r="BB53" s="20">
        <f xml:space="preserve">  Time!BB$12</f>
        <v>46388</v>
      </c>
      <c r="BC53" s="20">
        <f xml:space="preserve">  Time!BC$12</f>
        <v>46419</v>
      </c>
      <c r="BD53" s="20">
        <f xml:space="preserve">  Time!BD$12</f>
        <v>46447</v>
      </c>
      <c r="BE53" s="20">
        <f xml:space="preserve">  Time!BE$12</f>
        <v>46478</v>
      </c>
      <c r="BF53" s="20">
        <f xml:space="preserve">  Time!BF$12</f>
        <v>46508</v>
      </c>
      <c r="BG53" s="20">
        <f xml:space="preserve">  Time!BG$12</f>
        <v>46539</v>
      </c>
      <c r="BH53" s="20">
        <f xml:space="preserve">  Time!BH$12</f>
        <v>46569</v>
      </c>
      <c r="BI53" s="20">
        <f xml:space="preserve">  Time!BI$12</f>
        <v>46600</v>
      </c>
      <c r="BJ53" s="20">
        <f xml:space="preserve">  Time!BJ$12</f>
        <v>46631</v>
      </c>
      <c r="BK53" s="20">
        <f xml:space="preserve">  Time!BK$12</f>
        <v>46661</v>
      </c>
      <c r="BL53" s="20">
        <f xml:space="preserve">  Time!BL$12</f>
        <v>46692</v>
      </c>
      <c r="BM53" s="20">
        <f xml:space="preserve">  Time!BM$12</f>
        <v>46722</v>
      </c>
      <c r="BN53" s="20">
        <f xml:space="preserve">  Time!BN$12</f>
        <v>46753</v>
      </c>
      <c r="BO53" s="20">
        <f xml:space="preserve">  Time!BO$12</f>
        <v>46784</v>
      </c>
      <c r="BP53" s="20">
        <f xml:space="preserve">  Time!BP$12</f>
        <v>46813</v>
      </c>
      <c r="BQ53" s="20">
        <f xml:space="preserve">  Time!BQ$12</f>
        <v>46844</v>
      </c>
    </row>
    <row r="54" spans="1:69" outlineLevel="1">
      <c r="E54" s="47" t="s">
        <v>224</v>
      </c>
      <c r="G54" s="47" t="s">
        <v>213</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5" t="s">
        <v>36</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28"/>
      <c r="D59" s="27"/>
      <c r="E59" s="20" t="str">
        <f xml:space="preserve">  Time!E$12</f>
        <v>Model period start</v>
      </c>
      <c r="F59" s="20">
        <f xml:space="preserve">  Time!F$12</f>
        <v>0</v>
      </c>
      <c r="G59" s="20" t="str">
        <f xml:space="preserve">  Time!G$12</f>
        <v>date</v>
      </c>
      <c r="H59" s="20">
        <f xml:space="preserve">  Time!H$12</f>
        <v>0</v>
      </c>
      <c r="I59" s="20">
        <f xml:space="preserve">  Time!I$12</f>
        <v>0</v>
      </c>
      <c r="J59" s="20">
        <f xml:space="preserve">  Time!J$12</f>
        <v>45047</v>
      </c>
      <c r="K59" s="20">
        <f xml:space="preserve">  Time!K$12</f>
        <v>45078</v>
      </c>
      <c r="L59" s="20">
        <f xml:space="preserve">  Time!L$12</f>
        <v>45108</v>
      </c>
      <c r="M59" s="20">
        <f xml:space="preserve">  Time!M$12</f>
        <v>45139</v>
      </c>
      <c r="N59" s="20">
        <f xml:space="preserve">  Time!N$12</f>
        <v>45170</v>
      </c>
      <c r="O59" s="20">
        <f xml:space="preserve">  Time!O$12</f>
        <v>45200</v>
      </c>
      <c r="P59" s="20">
        <f xml:space="preserve">  Time!P$12</f>
        <v>45231</v>
      </c>
      <c r="Q59" s="20">
        <f xml:space="preserve">  Time!Q$12</f>
        <v>45261</v>
      </c>
      <c r="R59" s="20">
        <f xml:space="preserve">  Time!R$12</f>
        <v>45292</v>
      </c>
      <c r="S59" s="20">
        <f xml:space="preserve">  Time!S$12</f>
        <v>45323</v>
      </c>
      <c r="T59" s="20">
        <f xml:space="preserve">  Time!T$12</f>
        <v>45352</v>
      </c>
      <c r="U59" s="20">
        <f xml:space="preserve">  Time!U$12</f>
        <v>45383</v>
      </c>
      <c r="V59" s="20">
        <f xml:space="preserve">  Time!V$12</f>
        <v>45413</v>
      </c>
      <c r="W59" s="20">
        <f xml:space="preserve">  Time!W$12</f>
        <v>45444</v>
      </c>
      <c r="X59" s="20">
        <f xml:space="preserve">  Time!X$12</f>
        <v>45474</v>
      </c>
      <c r="Y59" s="20">
        <f xml:space="preserve">  Time!Y$12</f>
        <v>45505</v>
      </c>
      <c r="Z59" s="20">
        <f xml:space="preserve">  Time!Z$12</f>
        <v>45536</v>
      </c>
      <c r="AA59" s="20">
        <f xml:space="preserve">  Time!AA$12</f>
        <v>45566</v>
      </c>
      <c r="AB59" s="20">
        <f xml:space="preserve">  Time!AB$12</f>
        <v>45597</v>
      </c>
      <c r="AC59" s="20">
        <f xml:space="preserve">  Time!AC$12</f>
        <v>45627</v>
      </c>
      <c r="AD59" s="20">
        <f xml:space="preserve">  Time!AD$12</f>
        <v>45658</v>
      </c>
      <c r="AE59" s="20">
        <f xml:space="preserve">  Time!AE$12</f>
        <v>45689</v>
      </c>
      <c r="AF59" s="20">
        <f xml:space="preserve">  Time!AF$12</f>
        <v>45717</v>
      </c>
      <c r="AG59" s="20">
        <f xml:space="preserve">  Time!AG$12</f>
        <v>45748</v>
      </c>
      <c r="AH59" s="20">
        <f xml:space="preserve">  Time!AH$12</f>
        <v>45778</v>
      </c>
      <c r="AI59" s="20">
        <f xml:space="preserve">  Time!AI$12</f>
        <v>45809</v>
      </c>
      <c r="AJ59" s="20">
        <f xml:space="preserve">  Time!AJ$12</f>
        <v>45839</v>
      </c>
      <c r="AK59" s="20">
        <f xml:space="preserve">  Time!AK$12</f>
        <v>45870</v>
      </c>
      <c r="AL59" s="20">
        <f xml:space="preserve">  Time!AL$12</f>
        <v>45901</v>
      </c>
      <c r="AM59" s="20">
        <f xml:space="preserve">  Time!AM$12</f>
        <v>45931</v>
      </c>
      <c r="AN59" s="20">
        <f xml:space="preserve">  Time!AN$12</f>
        <v>45962</v>
      </c>
      <c r="AO59" s="20">
        <f xml:space="preserve">  Time!AO$12</f>
        <v>45992</v>
      </c>
      <c r="AP59" s="20">
        <f xml:space="preserve">  Time!AP$12</f>
        <v>46023</v>
      </c>
      <c r="AQ59" s="20">
        <f xml:space="preserve">  Time!AQ$12</f>
        <v>46054</v>
      </c>
      <c r="AR59" s="20">
        <f xml:space="preserve">  Time!AR$12</f>
        <v>46082</v>
      </c>
      <c r="AS59" s="20">
        <f xml:space="preserve">  Time!AS$12</f>
        <v>46113</v>
      </c>
      <c r="AT59" s="20">
        <f xml:space="preserve">  Time!AT$12</f>
        <v>46143</v>
      </c>
      <c r="AU59" s="20">
        <f xml:space="preserve">  Time!AU$12</f>
        <v>46174</v>
      </c>
      <c r="AV59" s="20">
        <f xml:space="preserve">  Time!AV$12</f>
        <v>46204</v>
      </c>
      <c r="AW59" s="20">
        <f xml:space="preserve">  Time!AW$12</f>
        <v>46235</v>
      </c>
      <c r="AX59" s="20">
        <f xml:space="preserve">  Time!AX$12</f>
        <v>46266</v>
      </c>
      <c r="AY59" s="20">
        <f xml:space="preserve">  Time!AY$12</f>
        <v>46296</v>
      </c>
      <c r="AZ59" s="20">
        <f xml:space="preserve">  Time!AZ$12</f>
        <v>46327</v>
      </c>
      <c r="BA59" s="20">
        <f xml:space="preserve">  Time!BA$12</f>
        <v>46357</v>
      </c>
      <c r="BB59" s="20">
        <f xml:space="preserve">  Time!BB$12</f>
        <v>46388</v>
      </c>
      <c r="BC59" s="20">
        <f xml:space="preserve">  Time!BC$12</f>
        <v>46419</v>
      </c>
      <c r="BD59" s="20">
        <f xml:space="preserve">  Time!BD$12</f>
        <v>46447</v>
      </c>
      <c r="BE59" s="20">
        <f xml:space="preserve">  Time!BE$12</f>
        <v>46478</v>
      </c>
      <c r="BF59" s="20">
        <f xml:space="preserve">  Time!BF$12</f>
        <v>46508</v>
      </c>
      <c r="BG59" s="20">
        <f xml:space="preserve">  Time!BG$12</f>
        <v>46539</v>
      </c>
      <c r="BH59" s="20">
        <f xml:space="preserve">  Time!BH$12</f>
        <v>46569</v>
      </c>
      <c r="BI59" s="20">
        <f xml:space="preserve">  Time!BI$12</f>
        <v>46600</v>
      </c>
      <c r="BJ59" s="20">
        <f xml:space="preserve">  Time!BJ$12</f>
        <v>46631</v>
      </c>
      <c r="BK59" s="20">
        <f xml:space="preserve">  Time!BK$12</f>
        <v>46661</v>
      </c>
      <c r="BL59" s="20">
        <f xml:space="preserve">  Time!BL$12</f>
        <v>46692</v>
      </c>
      <c r="BM59" s="20">
        <f xml:space="preserve">  Time!BM$12</f>
        <v>46722</v>
      </c>
      <c r="BN59" s="20">
        <f xml:space="preserve">  Time!BN$12</f>
        <v>46753</v>
      </c>
      <c r="BO59" s="20">
        <f xml:space="preserve">  Time!BO$12</f>
        <v>46784</v>
      </c>
      <c r="BP59" s="20">
        <f xml:space="preserve">  Time!BP$12</f>
        <v>46813</v>
      </c>
      <c r="BQ59" s="20">
        <f xml:space="preserve">  Time!BQ$12</f>
        <v>46844</v>
      </c>
    </row>
    <row r="60" spans="1:69" outlineLevel="1">
      <c r="A60" s="18"/>
      <c r="B60" s="18"/>
      <c r="C60" s="28"/>
      <c r="D60" s="27"/>
      <c r="E60" s="20" t="str">
        <f xml:space="preserve">  Time!E$19</f>
        <v>Model period end</v>
      </c>
      <c r="F60" s="20">
        <f xml:space="preserve">  Time!F$19</f>
        <v>0</v>
      </c>
      <c r="G60" s="20" t="str">
        <f xml:space="preserve">  Time!G$19</f>
        <v>date</v>
      </c>
      <c r="H60" s="20">
        <f xml:space="preserve">  Time!H$19</f>
        <v>0</v>
      </c>
      <c r="I60" s="20">
        <f xml:space="preserve">  Time!I$19</f>
        <v>0</v>
      </c>
      <c r="J60" s="20">
        <f xml:space="preserve">  Time!J$19</f>
        <v>45077</v>
      </c>
      <c r="K60" s="20">
        <f xml:space="preserve">  Time!K$19</f>
        <v>45107</v>
      </c>
      <c r="L60" s="20">
        <f xml:space="preserve">  Time!L$19</f>
        <v>45138</v>
      </c>
      <c r="M60" s="20">
        <f xml:space="preserve">  Time!M$19</f>
        <v>45169</v>
      </c>
      <c r="N60" s="20">
        <f xml:space="preserve">  Time!N$19</f>
        <v>45199</v>
      </c>
      <c r="O60" s="20">
        <f xml:space="preserve">  Time!O$19</f>
        <v>45230</v>
      </c>
      <c r="P60" s="20">
        <f xml:space="preserve">  Time!P$19</f>
        <v>45260</v>
      </c>
      <c r="Q60" s="20">
        <f xml:space="preserve">  Time!Q$19</f>
        <v>45291</v>
      </c>
      <c r="R60" s="20">
        <f xml:space="preserve">  Time!R$19</f>
        <v>45322</v>
      </c>
      <c r="S60" s="20">
        <f xml:space="preserve">  Time!S$19</f>
        <v>45351</v>
      </c>
      <c r="T60" s="20">
        <f xml:space="preserve">  Time!T$19</f>
        <v>45382</v>
      </c>
      <c r="U60" s="20">
        <f xml:space="preserve">  Time!U$19</f>
        <v>45412</v>
      </c>
      <c r="V60" s="20">
        <f xml:space="preserve">  Time!V$19</f>
        <v>45443</v>
      </c>
      <c r="W60" s="20">
        <f xml:space="preserve">  Time!W$19</f>
        <v>45473</v>
      </c>
      <c r="X60" s="20">
        <f xml:space="preserve">  Time!X$19</f>
        <v>45504</v>
      </c>
      <c r="Y60" s="20">
        <f xml:space="preserve">  Time!Y$19</f>
        <v>45535</v>
      </c>
      <c r="Z60" s="20">
        <f xml:space="preserve">  Time!Z$19</f>
        <v>45565</v>
      </c>
      <c r="AA60" s="20">
        <f xml:space="preserve">  Time!AA$19</f>
        <v>45596</v>
      </c>
      <c r="AB60" s="20">
        <f xml:space="preserve">  Time!AB$19</f>
        <v>45626</v>
      </c>
      <c r="AC60" s="20">
        <f xml:space="preserve">  Time!AC$19</f>
        <v>45657</v>
      </c>
      <c r="AD60" s="20">
        <f xml:space="preserve">  Time!AD$19</f>
        <v>45688</v>
      </c>
      <c r="AE60" s="20">
        <f xml:space="preserve">  Time!AE$19</f>
        <v>45716</v>
      </c>
      <c r="AF60" s="20">
        <f xml:space="preserve">  Time!AF$19</f>
        <v>45747</v>
      </c>
      <c r="AG60" s="20">
        <f xml:space="preserve">  Time!AG$19</f>
        <v>45777</v>
      </c>
      <c r="AH60" s="20">
        <f xml:space="preserve">  Time!AH$19</f>
        <v>45808</v>
      </c>
      <c r="AI60" s="20">
        <f xml:space="preserve">  Time!AI$19</f>
        <v>45838</v>
      </c>
      <c r="AJ60" s="20">
        <f xml:space="preserve">  Time!AJ$19</f>
        <v>45869</v>
      </c>
      <c r="AK60" s="20">
        <f xml:space="preserve">  Time!AK$19</f>
        <v>45900</v>
      </c>
      <c r="AL60" s="20">
        <f xml:space="preserve">  Time!AL$19</f>
        <v>45930</v>
      </c>
      <c r="AM60" s="20">
        <f xml:space="preserve">  Time!AM$19</f>
        <v>45961</v>
      </c>
      <c r="AN60" s="20">
        <f xml:space="preserve">  Time!AN$19</f>
        <v>45991</v>
      </c>
      <c r="AO60" s="20">
        <f xml:space="preserve">  Time!AO$19</f>
        <v>46022</v>
      </c>
      <c r="AP60" s="20">
        <f xml:space="preserve">  Time!AP$19</f>
        <v>46053</v>
      </c>
      <c r="AQ60" s="20">
        <f xml:space="preserve">  Time!AQ$19</f>
        <v>46081</v>
      </c>
      <c r="AR60" s="20">
        <f xml:space="preserve">  Time!AR$19</f>
        <v>46112</v>
      </c>
      <c r="AS60" s="20">
        <f xml:space="preserve">  Time!AS$19</f>
        <v>46142</v>
      </c>
      <c r="AT60" s="20">
        <f xml:space="preserve">  Time!AT$19</f>
        <v>46173</v>
      </c>
      <c r="AU60" s="20">
        <f xml:space="preserve">  Time!AU$19</f>
        <v>46203</v>
      </c>
      <c r="AV60" s="20">
        <f xml:space="preserve">  Time!AV$19</f>
        <v>46234</v>
      </c>
      <c r="AW60" s="20">
        <f xml:space="preserve">  Time!AW$19</f>
        <v>46265</v>
      </c>
      <c r="AX60" s="20">
        <f xml:space="preserve">  Time!AX$19</f>
        <v>46295</v>
      </c>
      <c r="AY60" s="20">
        <f xml:space="preserve">  Time!AY$19</f>
        <v>46326</v>
      </c>
      <c r="AZ60" s="20">
        <f xml:space="preserve">  Time!AZ$19</f>
        <v>46356</v>
      </c>
      <c r="BA60" s="20">
        <f xml:space="preserve">  Time!BA$19</f>
        <v>46387</v>
      </c>
      <c r="BB60" s="20">
        <f xml:space="preserve">  Time!BB$19</f>
        <v>46418</v>
      </c>
      <c r="BC60" s="20">
        <f xml:space="preserve">  Time!BC$19</f>
        <v>46446</v>
      </c>
      <c r="BD60" s="20">
        <f xml:space="preserve">  Time!BD$19</f>
        <v>46477</v>
      </c>
      <c r="BE60" s="20">
        <f xml:space="preserve">  Time!BE$19</f>
        <v>46507</v>
      </c>
      <c r="BF60" s="20">
        <f xml:space="preserve">  Time!BF$19</f>
        <v>46538</v>
      </c>
      <c r="BG60" s="20">
        <f xml:space="preserve">  Time!BG$19</f>
        <v>46568</v>
      </c>
      <c r="BH60" s="20">
        <f xml:space="preserve">  Time!BH$19</f>
        <v>46599</v>
      </c>
      <c r="BI60" s="20">
        <f xml:space="preserve">  Time!BI$19</f>
        <v>46630</v>
      </c>
      <c r="BJ60" s="20">
        <f xml:space="preserve">  Time!BJ$19</f>
        <v>46660</v>
      </c>
      <c r="BK60" s="20">
        <f xml:space="preserve">  Time!BK$19</f>
        <v>46691</v>
      </c>
      <c r="BL60" s="20">
        <f xml:space="preserve">  Time!BL$19</f>
        <v>46721</v>
      </c>
      <c r="BM60" s="20">
        <f xml:space="preserve">  Time!BM$19</f>
        <v>46752</v>
      </c>
      <c r="BN60" s="20">
        <f xml:space="preserve">  Time!BN$19</f>
        <v>46783</v>
      </c>
      <c r="BO60" s="20">
        <f xml:space="preserve">  Time!BO$19</f>
        <v>46812</v>
      </c>
      <c r="BP60" s="20">
        <f xml:space="preserve">  Time!BP$19</f>
        <v>46843</v>
      </c>
      <c r="BQ60" s="20">
        <f xml:space="preserve">  Time!BQ$19</f>
        <v>46873</v>
      </c>
    </row>
    <row r="61" spans="1:69" outlineLevel="1">
      <c r="E61" s="47" t="s">
        <v>36</v>
      </c>
      <c r="G61" s="47" t="s">
        <v>20</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5" t="s">
        <v>225</v>
      </c>
    </row>
    <row r="65" spans="1:69" outlineLevel="1">
      <c r="B65" s="25" t="s">
        <v>178</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0</v>
      </c>
      <c r="R66" s="2">
        <f t="shared" ca="1" si="22"/>
        <v>5297.5594239995407</v>
      </c>
      <c r="S66" s="2">
        <f t="shared" ca="1" si="22"/>
        <v>23454.58183572589</v>
      </c>
      <c r="T66" s="2">
        <f t="shared" ca="1" si="22"/>
        <v>41382.005102486866</v>
      </c>
      <c r="U66" s="2">
        <f t="shared" ca="1" si="22"/>
        <v>83309.428369247849</v>
      </c>
      <c r="V66" s="2">
        <f t="shared" ca="1" si="22"/>
        <v>125236.85163600883</v>
      </c>
      <c r="W66" s="2">
        <f t="shared" ca="1" si="22"/>
        <v>190080.58307723497</v>
      </c>
      <c r="X66" s="2">
        <f t="shared" ca="1" si="22"/>
        <v>271530.68671389157</v>
      </c>
      <c r="Y66" s="2">
        <f t="shared" ca="1" si="22"/>
        <v>358506.10425785242</v>
      </c>
      <c r="Z66" s="2">
        <f t="shared" ca="1" si="22"/>
        <v>106969.02369459934</v>
      </c>
      <c r="AA66" s="2">
        <f t="shared" ca="1" si="22"/>
        <v>215605.62951557967</v>
      </c>
      <c r="AB66" s="2">
        <f t="shared" ca="1" si="22"/>
        <v>323099.25393843593</v>
      </c>
      <c r="AC66" s="2">
        <f t="shared" ca="1" si="22"/>
        <v>429135.68506479642</v>
      </c>
      <c r="AD66" s="2">
        <f t="shared" ca="1" si="22"/>
        <v>533889.16294983902</v>
      </c>
      <c r="AE66" s="2">
        <f t="shared" ca="1" si="22"/>
        <v>637283.3992239167</v>
      </c>
      <c r="AF66" s="2">
        <f t="shared" ca="1" si="22"/>
        <v>738984.53080181219</v>
      </c>
      <c r="AG66" s="2">
        <f t="shared" ca="1" si="22"/>
        <v>851159.96525691659</v>
      </c>
      <c r="AH66" s="2">
        <f t="shared" ca="1" si="22"/>
        <v>973718.97991725383</v>
      </c>
      <c r="AI66" s="2">
        <f t="shared" ca="1" si="22"/>
        <v>1101323.4957440589</v>
      </c>
      <c r="AJ66" s="2">
        <f t="shared" ca="1" si="22"/>
        <v>1248713.6416971015</v>
      </c>
      <c r="AK66" s="2">
        <f t="shared" ca="1" si="22"/>
        <v>1415781.5297293758</v>
      </c>
      <c r="AL66" s="2">
        <f t="shared" ca="1" si="22"/>
        <v>174366.76575789065</v>
      </c>
      <c r="AM66" s="2">
        <f t="shared" ca="1" si="22"/>
        <v>358191.86995265656</v>
      </c>
      <c r="AN66" s="2">
        <f t="shared" ca="1" si="22"/>
        <v>556531.01135117433</v>
      </c>
      <c r="AO66" s="2">
        <f t="shared" ca="1" si="22"/>
        <v>768977.27191495243</v>
      </c>
      <c r="AP66" s="2">
        <f t="shared" ca="1" si="22"/>
        <v>985673.62599609478</v>
      </c>
      <c r="AQ66" s="2">
        <f t="shared" ca="1" si="22"/>
        <v>1223651.4968553074</v>
      </c>
      <c r="AR66" s="2">
        <f t="shared" ca="1" si="22"/>
        <v>1470470.9631195928</v>
      </c>
      <c r="AS66" s="2">
        <f t="shared" ca="1" si="22"/>
        <v>1738239.0351382962</v>
      </c>
      <c r="AT66" s="2">
        <f t="shared" ca="1" si="22"/>
        <v>2026774.2675674651</v>
      </c>
      <c r="AU66" s="2">
        <f t="shared" ca="1" si="22"/>
        <v>2334125.2130064801</v>
      </c>
      <c r="AV66" s="2">
        <f t="shared" ca="1" si="22"/>
        <v>2671561.4076750651</v>
      </c>
      <c r="AW66" s="2">
        <f t="shared" ca="1" si="22"/>
        <v>3038017.585057735</v>
      </c>
      <c r="AX66" s="2">
        <f t="shared" ca="1" si="22"/>
        <v>394056.47162045585</v>
      </c>
      <c r="AY66" s="2">
        <f t="shared" ca="1" si="22"/>
        <v>826808.59416121594</v>
      </c>
      <c r="AZ66" s="2">
        <f t="shared" ca="1" si="22"/>
        <v>1284989.545102691</v>
      </c>
      <c r="BA66" s="2">
        <f t="shared" ca="1" si="22"/>
        <v>1778959.0223750914</v>
      </c>
      <c r="BB66" s="2">
        <f t="shared" ca="1" si="22"/>
        <v>2319593.2161414158</v>
      </c>
      <c r="BC66" s="2">
        <f t="shared" ca="1" si="22"/>
        <v>2893385.6120479233</v>
      </c>
      <c r="BD66" s="2">
        <f t="shared" ca="1" si="22"/>
        <v>3510434.0880106846</v>
      </c>
      <c r="BE66" s="2">
        <f t="shared" ca="1" si="22"/>
        <v>4169353.6645674095</v>
      </c>
      <c r="BF66" s="2">
        <f t="shared" ca="1" si="22"/>
        <v>4880352.7841297751</v>
      </c>
      <c r="BG66" s="2">
        <f t="shared" ca="1" si="22"/>
        <v>5639070.8052464286</v>
      </c>
      <c r="BH66" s="2">
        <f t="shared" ca="1" si="22"/>
        <v>6443799.3248222219</v>
      </c>
      <c r="BI66" s="2">
        <f t="shared" ca="1" si="22"/>
        <v>7304407.809826185</v>
      </c>
      <c r="BJ66" s="2">
        <f t="shared" ca="1" si="22"/>
        <v>913911.00341566838</v>
      </c>
      <c r="BK66" s="2">
        <f t="shared" ca="1" si="22"/>
        <v>1886733.3086719452</v>
      </c>
      <c r="BL66" s="2">
        <f t="shared" ca="1" si="22"/>
        <v>2915933.2707296517</v>
      </c>
      <c r="BM66" s="2">
        <f t="shared" ca="1" si="22"/>
        <v>4010498.5785318636</v>
      </c>
      <c r="BN66" s="2">
        <f t="shared" ca="1" si="22"/>
        <v>5163593.3193219239</v>
      </c>
      <c r="BO66" s="2">
        <f t="shared" ca="1" si="22"/>
        <v>6384204.4643923491</v>
      </c>
      <c r="BP66" s="2">
        <f t="shared" ca="1" si="22"/>
        <v>7680806.185361566</v>
      </c>
      <c r="BQ66" s="2">
        <f t="shared" ca="1" si="22"/>
        <v>9050350.1075187102</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7" t="s">
        <v>327</v>
      </c>
      <c r="G68" s="47" t="s">
        <v>258</v>
      </c>
      <c r="H68" s="2">
        <f t="shared" ref="H68:H69" ca="1" si="24" xml:space="preserve"> SUM( J68:BQ68 )</f>
        <v>12116713.028871149</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358506.10425785242</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1415781.5297293758</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3038017.585057735</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7304407.809826185</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4"/>
      <c r="B69" s="34"/>
      <c r="C69" s="64"/>
      <c r="D69" s="65"/>
      <c r="E69" s="21" t="str">
        <f xml:space="preserve"> LEFT($E$68, LEN($E$68) - 3 )</f>
        <v xml:space="preserve">Corporation tax paid </v>
      </c>
      <c r="F69" s="21"/>
      <c r="G69" s="21" t="str">
        <f xml:space="preserve"> G$68</f>
        <v>GBP</v>
      </c>
      <c r="H69" s="3">
        <f t="shared" ca="1" si="24"/>
        <v>-12116713.028871149</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-358506.10425785242</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-1415781.5297293758</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-3038017.585057735</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-7304407.809826185</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5" t="s">
        <v>225</v>
      </c>
    </row>
    <row r="73" spans="1:69" s="82" customFormat="1" outlineLevel="1">
      <c r="A73" s="59"/>
      <c r="B73" s="59"/>
      <c r="C73" s="87"/>
      <c r="D73" s="84"/>
      <c r="E73" s="40" t="str">
        <f xml:space="preserve">  InpC!E$92</f>
        <v>Opening Corporation tax creditor</v>
      </c>
      <c r="F73" s="40">
        <f xml:space="preserve">  InpC!F$92</f>
        <v>0</v>
      </c>
      <c r="G73" s="40" t="str">
        <f xml:space="preserve">  InpC!G$92</f>
        <v>GBP</v>
      </c>
      <c r="M73" s="80"/>
    </row>
    <row r="74" spans="1:69" outlineLevel="1">
      <c r="A74" s="18"/>
      <c r="B74" s="18"/>
      <c r="C74" s="28"/>
      <c r="D74" s="27"/>
      <c r="E74" s="9" t="str">
        <f xml:space="preserve">  Time!E$28</f>
        <v>Period number</v>
      </c>
      <c r="F74" s="9">
        <f xml:space="preserve">  Time!F$28</f>
        <v>0</v>
      </c>
      <c r="G74" s="9" t="str">
        <f xml:space="preserve">  Time!G$28</f>
        <v>Counter</v>
      </c>
      <c r="H74" s="9">
        <f xml:space="preserve">  Time!H$28</f>
        <v>0</v>
      </c>
      <c r="I74" s="9">
        <f xml:space="preserve">  Time!I$28</f>
        <v>0</v>
      </c>
      <c r="J74" s="9">
        <f xml:space="preserve">  Time!J$28</f>
        <v>1</v>
      </c>
      <c r="K74" s="9">
        <f xml:space="preserve">  Time!K$28</f>
        <v>2</v>
      </c>
      <c r="L74" s="9">
        <f xml:space="preserve">  Time!L$28</f>
        <v>3</v>
      </c>
      <c r="M74" s="9">
        <f xml:space="preserve">  Time!M$28</f>
        <v>4</v>
      </c>
      <c r="N74" s="9">
        <f xml:space="preserve">  Time!N$28</f>
        <v>5</v>
      </c>
      <c r="O74" s="9">
        <f xml:space="preserve">  Time!O$28</f>
        <v>6</v>
      </c>
      <c r="P74" s="9">
        <f xml:space="preserve">  Time!P$28</f>
        <v>7</v>
      </c>
      <c r="Q74" s="9">
        <f xml:space="preserve">  Time!Q$28</f>
        <v>8</v>
      </c>
      <c r="R74" s="9">
        <f xml:space="preserve">  Time!R$28</f>
        <v>9</v>
      </c>
      <c r="S74" s="9">
        <f xml:space="preserve">  Time!S$28</f>
        <v>10</v>
      </c>
      <c r="T74" s="9">
        <f xml:space="preserve">  Time!T$28</f>
        <v>11</v>
      </c>
      <c r="U74" s="9">
        <f xml:space="preserve">  Time!U$28</f>
        <v>12</v>
      </c>
      <c r="V74" s="9">
        <f xml:space="preserve">  Time!V$28</f>
        <v>13</v>
      </c>
      <c r="W74" s="9">
        <f xml:space="preserve">  Time!W$28</f>
        <v>14</v>
      </c>
      <c r="X74" s="9">
        <f xml:space="preserve">  Time!X$28</f>
        <v>15</v>
      </c>
      <c r="Y74" s="9">
        <f xml:space="preserve">  Time!Y$28</f>
        <v>16</v>
      </c>
      <c r="Z74" s="9">
        <f xml:space="preserve">  Time!Z$28</f>
        <v>17</v>
      </c>
      <c r="AA74" s="9">
        <f xml:space="preserve">  Time!AA$28</f>
        <v>18</v>
      </c>
      <c r="AB74" s="9">
        <f xml:space="preserve">  Time!AB$28</f>
        <v>19</v>
      </c>
      <c r="AC74" s="9">
        <f xml:space="preserve">  Time!AC$28</f>
        <v>20</v>
      </c>
      <c r="AD74" s="9">
        <f xml:space="preserve">  Time!AD$28</f>
        <v>21</v>
      </c>
      <c r="AE74" s="9">
        <f xml:space="preserve">  Time!AE$28</f>
        <v>22</v>
      </c>
      <c r="AF74" s="9">
        <f xml:space="preserve">  Time!AF$28</f>
        <v>23</v>
      </c>
      <c r="AG74" s="9">
        <f xml:space="preserve">  Time!AG$28</f>
        <v>24</v>
      </c>
      <c r="AH74" s="9">
        <f xml:space="preserve">  Time!AH$28</f>
        <v>25</v>
      </c>
      <c r="AI74" s="9">
        <f xml:space="preserve">  Time!AI$28</f>
        <v>26</v>
      </c>
      <c r="AJ74" s="9">
        <f xml:space="preserve">  Time!AJ$28</f>
        <v>27</v>
      </c>
      <c r="AK74" s="9">
        <f xml:space="preserve">  Time!AK$28</f>
        <v>28</v>
      </c>
      <c r="AL74" s="9">
        <f xml:space="preserve">  Time!AL$28</f>
        <v>29</v>
      </c>
      <c r="AM74" s="9">
        <f xml:space="preserve">  Time!AM$28</f>
        <v>30</v>
      </c>
      <c r="AN74" s="9">
        <f xml:space="preserve">  Time!AN$28</f>
        <v>31</v>
      </c>
      <c r="AO74" s="9">
        <f xml:space="preserve">  Time!AO$28</f>
        <v>32</v>
      </c>
      <c r="AP74" s="9">
        <f xml:space="preserve">  Time!AP$28</f>
        <v>33</v>
      </c>
      <c r="AQ74" s="9">
        <f xml:space="preserve">  Time!AQ$28</f>
        <v>34</v>
      </c>
      <c r="AR74" s="9">
        <f xml:space="preserve">  Time!AR$28</f>
        <v>35</v>
      </c>
      <c r="AS74" s="9">
        <f xml:space="preserve">  Time!AS$28</f>
        <v>36</v>
      </c>
      <c r="AT74" s="9">
        <f xml:space="preserve">  Time!AT$28</f>
        <v>37</v>
      </c>
      <c r="AU74" s="9">
        <f xml:space="preserve">  Time!AU$28</f>
        <v>38</v>
      </c>
      <c r="AV74" s="9">
        <f xml:space="preserve">  Time!AV$28</f>
        <v>39</v>
      </c>
      <c r="AW74" s="9">
        <f xml:space="preserve">  Time!AW$28</f>
        <v>40</v>
      </c>
      <c r="AX74" s="9">
        <f xml:space="preserve">  Time!AX$28</f>
        <v>41</v>
      </c>
      <c r="AY74" s="9">
        <f xml:space="preserve">  Time!AY$28</f>
        <v>42</v>
      </c>
      <c r="AZ74" s="9">
        <f xml:space="preserve">  Time!AZ$28</f>
        <v>43</v>
      </c>
      <c r="BA74" s="9">
        <f xml:space="preserve">  Time!BA$28</f>
        <v>44</v>
      </c>
      <c r="BB74" s="9">
        <f xml:space="preserve">  Time!BB$28</f>
        <v>45</v>
      </c>
      <c r="BC74" s="9">
        <f xml:space="preserve">  Time!BC$28</f>
        <v>46</v>
      </c>
      <c r="BD74" s="9">
        <f xml:space="preserve">  Time!BD$28</f>
        <v>47</v>
      </c>
      <c r="BE74" s="9">
        <f xml:space="preserve">  Time!BE$28</f>
        <v>48</v>
      </c>
      <c r="BF74" s="9">
        <f xml:space="preserve">  Time!BF$28</f>
        <v>49</v>
      </c>
      <c r="BG74" s="9">
        <f xml:space="preserve">  Time!BG$28</f>
        <v>50</v>
      </c>
      <c r="BH74" s="9">
        <f xml:space="preserve">  Time!BH$28</f>
        <v>51</v>
      </c>
      <c r="BI74" s="9">
        <f xml:space="preserve">  Time!BI$28</f>
        <v>52</v>
      </c>
      <c r="BJ74" s="9">
        <f xml:space="preserve">  Time!BJ$28</f>
        <v>53</v>
      </c>
      <c r="BK74" s="9">
        <f xml:space="preserve">  Time!BK$28</f>
        <v>54</v>
      </c>
      <c r="BL74" s="9">
        <f xml:space="preserve">  Time!BL$28</f>
        <v>55</v>
      </c>
      <c r="BM74" s="9">
        <f xml:space="preserve">  Time!BM$28</f>
        <v>56</v>
      </c>
      <c r="BN74" s="9">
        <f xml:space="preserve">  Time!BN$28</f>
        <v>57</v>
      </c>
      <c r="BO74" s="9">
        <f xml:space="preserve">  Time!BO$28</f>
        <v>58</v>
      </c>
      <c r="BP74" s="9">
        <f xml:space="preserve">  Time!BP$28</f>
        <v>59</v>
      </c>
      <c r="BQ74" s="9">
        <f xml:space="preserve">  Time!BQ$28</f>
        <v>60</v>
      </c>
    </row>
    <row r="75" spans="1:69" outlineLevel="1">
      <c r="E75" s="47" t="s">
        <v>155</v>
      </c>
      <c r="G75" s="47" t="s">
        <v>258</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0</v>
      </c>
      <c r="R75" s="2">
        <f t="shared" ca="1" si="27"/>
        <v>5297.5594239995407</v>
      </c>
      <c r="S75" s="2">
        <f t="shared" ca="1" si="27"/>
        <v>23454.58183572589</v>
      </c>
      <c r="T75" s="2">
        <f t="shared" ca="1" si="27"/>
        <v>41382.005102486866</v>
      </c>
      <c r="U75" s="2">
        <f t="shared" ca="1" si="27"/>
        <v>83309.428369247849</v>
      </c>
      <c r="V75" s="2">
        <f t="shared" ca="1" si="27"/>
        <v>125236.85163600883</v>
      </c>
      <c r="W75" s="2">
        <f t="shared" ca="1" si="27"/>
        <v>190080.58307723497</v>
      </c>
      <c r="X75" s="2">
        <f t="shared" ca="1" si="27"/>
        <v>271530.68671389157</v>
      </c>
      <c r="Y75" s="2">
        <f t="shared" ca="1" si="27"/>
        <v>358506.10425785242</v>
      </c>
      <c r="Z75" s="2">
        <f t="shared" ca="1" si="27"/>
        <v>106969.02369459934</v>
      </c>
      <c r="AA75" s="2">
        <f t="shared" ca="1" si="27"/>
        <v>215605.62951557967</v>
      </c>
      <c r="AB75" s="2">
        <f t="shared" ca="1" si="27"/>
        <v>323099.25393843593</v>
      </c>
      <c r="AC75" s="2">
        <f t="shared" ca="1" si="27"/>
        <v>429135.68506479642</v>
      </c>
      <c r="AD75" s="2">
        <f t="shared" ca="1" si="27"/>
        <v>533889.16294983902</v>
      </c>
      <c r="AE75" s="2">
        <f t="shared" ca="1" si="27"/>
        <v>637283.3992239167</v>
      </c>
      <c r="AF75" s="2">
        <f t="shared" ca="1" si="27"/>
        <v>738984.53080181219</v>
      </c>
      <c r="AG75" s="2">
        <f t="shared" ca="1" si="27"/>
        <v>851159.96525691659</v>
      </c>
      <c r="AH75" s="2">
        <f t="shared" ca="1" si="27"/>
        <v>973718.97991725383</v>
      </c>
      <c r="AI75" s="2">
        <f t="shared" ca="1" si="27"/>
        <v>1101323.4957440589</v>
      </c>
      <c r="AJ75" s="2">
        <f t="shared" ca="1" si="27"/>
        <v>1248713.6416971015</v>
      </c>
      <c r="AK75" s="2">
        <f t="shared" ca="1" si="27"/>
        <v>1415781.5297293758</v>
      </c>
      <c r="AL75" s="2">
        <f t="shared" ca="1" si="27"/>
        <v>174366.76575789065</v>
      </c>
      <c r="AM75" s="2">
        <f t="shared" ca="1" si="27"/>
        <v>358191.86995265656</v>
      </c>
      <c r="AN75" s="2">
        <f t="shared" ca="1" si="27"/>
        <v>556531.01135117433</v>
      </c>
      <c r="AO75" s="2">
        <f t="shared" ca="1" si="27"/>
        <v>768977.27191495243</v>
      </c>
      <c r="AP75" s="2">
        <f t="shared" ca="1" si="27"/>
        <v>985673.62599609478</v>
      </c>
      <c r="AQ75" s="2">
        <f t="shared" ca="1" si="27"/>
        <v>1223651.4968553074</v>
      </c>
      <c r="AR75" s="2">
        <f t="shared" ca="1" si="27"/>
        <v>1470470.9631195928</v>
      </c>
      <c r="AS75" s="2">
        <f t="shared" ca="1" si="27"/>
        <v>1738239.0351382962</v>
      </c>
      <c r="AT75" s="2">
        <f t="shared" ca="1" si="27"/>
        <v>2026774.2675674651</v>
      </c>
      <c r="AU75" s="2">
        <f t="shared" ca="1" si="27"/>
        <v>2334125.2130064801</v>
      </c>
      <c r="AV75" s="2">
        <f t="shared" ca="1" si="27"/>
        <v>2671561.4076750651</v>
      </c>
      <c r="AW75" s="2">
        <f t="shared" ca="1" si="27"/>
        <v>3038017.585057735</v>
      </c>
      <c r="AX75" s="2">
        <f t="shared" ca="1" si="27"/>
        <v>394056.47162045585</v>
      </c>
      <c r="AY75" s="2">
        <f t="shared" ca="1" si="27"/>
        <v>826808.59416121594</v>
      </c>
      <c r="AZ75" s="2">
        <f t="shared" ca="1" si="27"/>
        <v>1284989.545102691</v>
      </c>
      <c r="BA75" s="2">
        <f t="shared" ca="1" si="27"/>
        <v>1778959.0223750914</v>
      </c>
      <c r="BB75" s="2">
        <f t="shared" ca="1" si="27"/>
        <v>2319593.2161414158</v>
      </c>
      <c r="BC75" s="2">
        <f t="shared" ca="1" si="27"/>
        <v>2893385.6120479233</v>
      </c>
      <c r="BD75" s="2">
        <f t="shared" ca="1" si="27"/>
        <v>3510434.0880106846</v>
      </c>
      <c r="BE75" s="2">
        <f t="shared" ca="1" si="27"/>
        <v>4169353.6645674095</v>
      </c>
      <c r="BF75" s="2">
        <f t="shared" ca="1" si="27"/>
        <v>4880352.7841297751</v>
      </c>
      <c r="BG75" s="2">
        <f t="shared" ca="1" si="27"/>
        <v>5639070.8052464286</v>
      </c>
      <c r="BH75" s="2">
        <f t="shared" ca="1" si="27"/>
        <v>6443799.3248222219</v>
      </c>
      <c r="BI75" s="2">
        <f t="shared" ca="1" si="27"/>
        <v>7304407.809826185</v>
      </c>
      <c r="BJ75" s="2">
        <f t="shared" ca="1" si="27"/>
        <v>913911.00341566838</v>
      </c>
      <c r="BK75" s="2">
        <f t="shared" ca="1" si="27"/>
        <v>1886733.3086719452</v>
      </c>
      <c r="BL75" s="2">
        <f t="shared" ca="1" si="27"/>
        <v>2915933.2707296517</v>
      </c>
      <c r="BM75" s="2">
        <f t="shared" ca="1" si="27"/>
        <v>4010498.5785318636</v>
      </c>
      <c r="BN75" s="2">
        <f t="shared" ca="1" si="27"/>
        <v>5163593.3193219239</v>
      </c>
      <c r="BO75" s="2">
        <f t="shared" ca="1" si="27"/>
        <v>6384204.4643923491</v>
      </c>
      <c r="BP75" s="2">
        <f t="shared" ca="1" si="27"/>
        <v>7680806.185361566</v>
      </c>
      <c r="BQ75" s="2">
        <f t="shared" ca="1" si="27"/>
        <v>9050350.1075187102</v>
      </c>
    </row>
    <row r="76" spans="1:69" outlineLevel="1">
      <c r="D76" s="91" t="s">
        <v>219</v>
      </c>
      <c r="E76" s="2" t="str">
        <f t="shared" ref="E76:BQ76" si="28" xml:space="preserve">  E$47</f>
        <v>Corporation tax POS</v>
      </c>
      <c r="F76" s="2">
        <f t="shared" si="28"/>
        <v>0</v>
      </c>
      <c r="G76" s="2" t="str">
        <f t="shared" si="28"/>
        <v>GBP</v>
      </c>
      <c r="H76" s="2">
        <f t="shared" ca="1" si="28"/>
        <v>22617966.144558292</v>
      </c>
      <c r="I76" s="2">
        <f t="shared" si="28"/>
        <v>0</v>
      </c>
      <c r="J76" s="2">
        <f t="shared" ca="1" si="28"/>
        <v>0</v>
      </c>
      <c r="K76" s="2">
        <f t="shared" ca="1" si="28"/>
        <v>0</v>
      </c>
      <c r="L76" s="2">
        <f t="shared" ca="1" si="28"/>
        <v>0</v>
      </c>
      <c r="M76" s="2">
        <f t="shared" ca="1" si="28"/>
        <v>0</v>
      </c>
      <c r="N76" s="2">
        <f t="shared" ca="1" si="28"/>
        <v>0</v>
      </c>
      <c r="O76" s="2">
        <f t="shared" ca="1" si="28"/>
        <v>0</v>
      </c>
      <c r="P76" s="2">
        <f t="shared" ca="1" si="28"/>
        <v>0</v>
      </c>
      <c r="Q76" s="2">
        <f t="shared" ca="1" si="28"/>
        <v>5297.5594239995407</v>
      </c>
      <c r="R76" s="2">
        <f t="shared" ca="1" si="28"/>
        <v>18157.02241172635</v>
      </c>
      <c r="S76" s="2">
        <f t="shared" ca="1" si="28"/>
        <v>17927.423266760976</v>
      </c>
      <c r="T76" s="2">
        <f t="shared" ca="1" si="28"/>
        <v>41927.423266760976</v>
      </c>
      <c r="U76" s="2">
        <f t="shared" ca="1" si="28"/>
        <v>41927.423266760976</v>
      </c>
      <c r="V76" s="2">
        <f t="shared" ca="1" si="28"/>
        <v>64843.731441226148</v>
      </c>
      <c r="W76" s="2">
        <f t="shared" ca="1" si="28"/>
        <v>81450.103636656568</v>
      </c>
      <c r="X76" s="2">
        <f t="shared" ca="1" si="28"/>
        <v>86975.417543960823</v>
      </c>
      <c r="Y76" s="2">
        <f t="shared" ca="1" si="28"/>
        <v>106969.02369459935</v>
      </c>
      <c r="Z76" s="2">
        <f t="shared" ca="1" si="28"/>
        <v>108636.60582098035</v>
      </c>
      <c r="AA76" s="2">
        <f t="shared" ca="1" si="28"/>
        <v>107493.62442285629</v>
      </c>
      <c r="AB76" s="2">
        <f t="shared" ca="1" si="28"/>
        <v>106036.43112636049</v>
      </c>
      <c r="AC76" s="2">
        <f t="shared" ca="1" si="28"/>
        <v>104753.47788504262</v>
      </c>
      <c r="AD76" s="2">
        <f t="shared" ca="1" si="28"/>
        <v>103394.23627407773</v>
      </c>
      <c r="AE76" s="2">
        <f t="shared" ca="1" si="28"/>
        <v>101701.13157789549</v>
      </c>
      <c r="AF76" s="2">
        <f t="shared" ca="1" si="28"/>
        <v>112175.43445510446</v>
      </c>
      <c r="AG76" s="2">
        <f t="shared" ca="1" si="28"/>
        <v>122559.01466033724</v>
      </c>
      <c r="AH76" s="2">
        <f t="shared" ca="1" si="28"/>
        <v>127604.51582680501</v>
      </c>
      <c r="AI76" s="2">
        <f t="shared" ca="1" si="28"/>
        <v>147390.14595304275</v>
      </c>
      <c r="AJ76" s="2">
        <f t="shared" ca="1" si="28"/>
        <v>167067.88803227435</v>
      </c>
      <c r="AK76" s="2">
        <f t="shared" ca="1" si="28"/>
        <v>174366.76575789059</v>
      </c>
      <c r="AL76" s="2">
        <f t="shared" ca="1" si="28"/>
        <v>183825.10419476594</v>
      </c>
      <c r="AM76" s="2">
        <f t="shared" ca="1" si="28"/>
        <v>198339.14139851776</v>
      </c>
      <c r="AN76" s="2">
        <f t="shared" ca="1" si="28"/>
        <v>212446.26056377805</v>
      </c>
      <c r="AO76" s="2">
        <f t="shared" ca="1" si="28"/>
        <v>216696.35408114234</v>
      </c>
      <c r="AP76" s="2">
        <f t="shared" ca="1" si="28"/>
        <v>237977.87085921253</v>
      </c>
      <c r="AQ76" s="2">
        <f t="shared" ca="1" si="28"/>
        <v>246819.46626428538</v>
      </c>
      <c r="AR76" s="2">
        <f t="shared" ca="1" si="28"/>
        <v>267768.07201870339</v>
      </c>
      <c r="AS76" s="2">
        <f t="shared" ca="1" si="28"/>
        <v>288535.23242916894</v>
      </c>
      <c r="AT76" s="2">
        <f t="shared" ca="1" si="28"/>
        <v>307350.94543901522</v>
      </c>
      <c r="AU76" s="2">
        <f t="shared" ca="1" si="28"/>
        <v>337436.1946685852</v>
      </c>
      <c r="AV76" s="2">
        <f t="shared" ca="1" si="28"/>
        <v>366456.17738266988</v>
      </c>
      <c r="AW76" s="2">
        <f t="shared" ca="1" si="28"/>
        <v>394056.47162045602</v>
      </c>
      <c r="AX76" s="2">
        <f t="shared" ca="1" si="28"/>
        <v>432752.12254076015</v>
      </c>
      <c r="AY76" s="2">
        <f t="shared" ca="1" si="28"/>
        <v>458180.95094147511</v>
      </c>
      <c r="AZ76" s="2">
        <f t="shared" ca="1" si="28"/>
        <v>493969.4772724004</v>
      </c>
      <c r="BA76" s="2">
        <f t="shared" ca="1" si="28"/>
        <v>540634.19376632455</v>
      </c>
      <c r="BB76" s="2">
        <f t="shared" ca="1" si="28"/>
        <v>573792.39590650739</v>
      </c>
      <c r="BC76" s="2">
        <f t="shared" ca="1" si="28"/>
        <v>617048.47596276156</v>
      </c>
      <c r="BD76" s="2">
        <f t="shared" ca="1" si="28"/>
        <v>658919.57655672508</v>
      </c>
      <c r="BE76" s="2">
        <f t="shared" ca="1" si="28"/>
        <v>710999.11956236558</v>
      </c>
      <c r="BF76" s="2">
        <f t="shared" ca="1" si="28"/>
        <v>758718.02111665346</v>
      </c>
      <c r="BG76" s="2">
        <f t="shared" ca="1" si="28"/>
        <v>804728.51957579353</v>
      </c>
      <c r="BH76" s="2">
        <f t="shared" ca="1" si="28"/>
        <v>860608.48500396276</v>
      </c>
      <c r="BI76" s="2">
        <f t="shared" ca="1" si="28"/>
        <v>913911.00341566838</v>
      </c>
      <c r="BJ76" s="2">
        <f t="shared" ca="1" si="28"/>
        <v>972822.30525627686</v>
      </c>
      <c r="BK76" s="2">
        <f t="shared" ca="1" si="28"/>
        <v>1029199.9620577066</v>
      </c>
      <c r="BL76" s="2">
        <f t="shared" ca="1" si="28"/>
        <v>1094565.307802212</v>
      </c>
      <c r="BM76" s="2">
        <f t="shared" ca="1" si="28"/>
        <v>1153094.7407900603</v>
      </c>
      <c r="BN76" s="2">
        <f t="shared" ca="1" si="28"/>
        <v>1220611.1450704257</v>
      </c>
      <c r="BO76" s="2">
        <f t="shared" ca="1" si="28"/>
        <v>1296601.7209692171</v>
      </c>
      <c r="BP76" s="2">
        <f t="shared" ca="1" si="28"/>
        <v>1369543.9221571442</v>
      </c>
      <c r="BQ76" s="2">
        <f t="shared" ca="1" si="28"/>
        <v>1450903.0081684254</v>
      </c>
    </row>
    <row r="77" spans="1:69" outlineLevel="1">
      <c r="D77" s="91" t="s">
        <v>300</v>
      </c>
      <c r="E77" s="2" t="str">
        <f t="shared" ref="E77:BQ77" si="29" xml:space="preserve">  E$68</f>
        <v>Corporation tax paid POS</v>
      </c>
      <c r="F77" s="2">
        <f t="shared" si="29"/>
        <v>0</v>
      </c>
      <c r="G77" s="2" t="str">
        <f t="shared" si="29"/>
        <v>GBP</v>
      </c>
      <c r="H77" s="2">
        <f t="shared" ca="1" si="29"/>
        <v>12116713.028871149</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358506.10425785242</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1415781.5297293758</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3038017.585057735</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7304407.809826185</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1" customFormat="1" outlineLevel="1">
      <c r="A78" s="63"/>
      <c r="B78" s="63"/>
      <c r="C78" s="88"/>
      <c r="D78" s="90"/>
      <c r="E78" s="33" t="s">
        <v>225</v>
      </c>
      <c r="F78" s="33"/>
      <c r="G78" s="33" t="s">
        <v>258</v>
      </c>
      <c r="H78" s="33"/>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0</v>
      </c>
      <c r="Q78" s="11">
        <f t="shared" ca="1" si="30"/>
        <v>5297.5594239995407</v>
      </c>
      <c r="R78" s="11">
        <f t="shared" ca="1" si="30"/>
        <v>23454.58183572589</v>
      </c>
      <c r="S78" s="11">
        <f t="shared" ca="1" si="30"/>
        <v>41382.005102486866</v>
      </c>
      <c r="T78" s="11">
        <f t="shared" ca="1" si="30"/>
        <v>83309.428369247849</v>
      </c>
      <c r="U78" s="11">
        <f t="shared" ca="1" si="30"/>
        <v>125236.85163600883</v>
      </c>
      <c r="V78" s="11">
        <f t="shared" ca="1" si="30"/>
        <v>190080.58307723497</v>
      </c>
      <c r="W78" s="11">
        <f t="shared" ca="1" si="30"/>
        <v>271530.68671389157</v>
      </c>
      <c r="X78" s="11">
        <f t="shared" ca="1" si="30"/>
        <v>358506.10425785242</v>
      </c>
      <c r="Y78" s="11">
        <f t="shared" ca="1" si="30"/>
        <v>106969.02369459934</v>
      </c>
      <c r="Z78" s="11">
        <f t="shared" ca="1" si="30"/>
        <v>215605.62951557967</v>
      </c>
      <c r="AA78" s="11">
        <f t="shared" ca="1" si="30"/>
        <v>323099.25393843593</v>
      </c>
      <c r="AB78" s="11">
        <f t="shared" ca="1" si="30"/>
        <v>429135.68506479642</v>
      </c>
      <c r="AC78" s="11">
        <f t="shared" ca="1" si="30"/>
        <v>533889.16294983902</v>
      </c>
      <c r="AD78" s="11">
        <f t="shared" ca="1" si="30"/>
        <v>637283.3992239167</v>
      </c>
      <c r="AE78" s="11">
        <f t="shared" ca="1" si="30"/>
        <v>738984.53080181219</v>
      </c>
      <c r="AF78" s="11">
        <f t="shared" ca="1" si="30"/>
        <v>851159.96525691659</v>
      </c>
      <c r="AG78" s="11">
        <f t="shared" ca="1" si="30"/>
        <v>973718.97991725383</v>
      </c>
      <c r="AH78" s="11">
        <f t="shared" ca="1" si="30"/>
        <v>1101323.4957440589</v>
      </c>
      <c r="AI78" s="11">
        <f t="shared" ca="1" si="30"/>
        <v>1248713.6416971015</v>
      </c>
      <c r="AJ78" s="11">
        <f t="shared" ca="1" si="30"/>
        <v>1415781.5297293758</v>
      </c>
      <c r="AK78" s="11">
        <f t="shared" ca="1" si="30"/>
        <v>174366.76575789065</v>
      </c>
      <c r="AL78" s="11">
        <f t="shared" ca="1" si="30"/>
        <v>358191.86995265656</v>
      </c>
      <c r="AM78" s="11">
        <f t="shared" ca="1" si="30"/>
        <v>556531.01135117433</v>
      </c>
      <c r="AN78" s="11">
        <f t="shared" ca="1" si="30"/>
        <v>768977.27191495243</v>
      </c>
      <c r="AO78" s="11">
        <f t="shared" ca="1" si="30"/>
        <v>985673.62599609478</v>
      </c>
      <c r="AP78" s="11">
        <f t="shared" ca="1" si="30"/>
        <v>1223651.4968553074</v>
      </c>
      <c r="AQ78" s="11">
        <f t="shared" ca="1" si="30"/>
        <v>1470470.9631195928</v>
      </c>
      <c r="AR78" s="11">
        <f t="shared" ca="1" si="30"/>
        <v>1738239.0351382962</v>
      </c>
      <c r="AS78" s="11">
        <f t="shared" ca="1" si="30"/>
        <v>2026774.2675674651</v>
      </c>
      <c r="AT78" s="11">
        <f t="shared" ca="1" si="30"/>
        <v>2334125.2130064801</v>
      </c>
      <c r="AU78" s="11">
        <f t="shared" ca="1" si="30"/>
        <v>2671561.4076750651</v>
      </c>
      <c r="AV78" s="11">
        <f t="shared" ca="1" si="30"/>
        <v>3038017.585057735</v>
      </c>
      <c r="AW78" s="11">
        <f t="shared" ca="1" si="30"/>
        <v>394056.47162045585</v>
      </c>
      <c r="AX78" s="11">
        <f t="shared" ca="1" si="30"/>
        <v>826808.59416121594</v>
      </c>
      <c r="AY78" s="11">
        <f t="shared" ca="1" si="30"/>
        <v>1284989.545102691</v>
      </c>
      <c r="AZ78" s="11">
        <f t="shared" ca="1" si="30"/>
        <v>1778959.0223750914</v>
      </c>
      <c r="BA78" s="11">
        <f t="shared" ca="1" si="30"/>
        <v>2319593.2161414158</v>
      </c>
      <c r="BB78" s="11">
        <f t="shared" ca="1" si="30"/>
        <v>2893385.6120479233</v>
      </c>
      <c r="BC78" s="11">
        <f t="shared" ca="1" si="30"/>
        <v>3510434.0880106846</v>
      </c>
      <c r="BD78" s="11">
        <f t="shared" ca="1" si="30"/>
        <v>4169353.6645674095</v>
      </c>
      <c r="BE78" s="11">
        <f t="shared" ca="1" si="30"/>
        <v>4880352.7841297751</v>
      </c>
      <c r="BF78" s="11">
        <f t="shared" ca="1" si="30"/>
        <v>5639070.8052464286</v>
      </c>
      <c r="BG78" s="11">
        <f t="shared" ca="1" si="30"/>
        <v>6443799.3248222219</v>
      </c>
      <c r="BH78" s="11">
        <f t="shared" ca="1" si="30"/>
        <v>7304407.809826185</v>
      </c>
      <c r="BI78" s="11">
        <f t="shared" ca="1" si="30"/>
        <v>913911.00341566838</v>
      </c>
      <c r="BJ78" s="11">
        <f t="shared" ca="1" si="30"/>
        <v>1886733.3086719452</v>
      </c>
      <c r="BK78" s="11">
        <f t="shared" ca="1" si="30"/>
        <v>2915933.2707296517</v>
      </c>
      <c r="BL78" s="11">
        <f t="shared" ca="1" si="30"/>
        <v>4010498.5785318636</v>
      </c>
      <c r="BM78" s="11">
        <f t="shared" ca="1" si="30"/>
        <v>5163593.3193219239</v>
      </c>
      <c r="BN78" s="11">
        <f t="shared" ca="1" si="30"/>
        <v>6384204.4643923491</v>
      </c>
      <c r="BO78" s="11">
        <f t="shared" ca="1" si="30"/>
        <v>7680806.185361566</v>
      </c>
      <c r="BP78" s="11">
        <f t="shared" ca="1" si="30"/>
        <v>9050350.1075187102</v>
      </c>
      <c r="BQ78" s="11">
        <f t="shared" ca="1" si="30"/>
        <v>10501253.115687136</v>
      </c>
    </row>
    <row r="80" spans="1:69">
      <c r="B80" s="25" t="s">
        <v>305</v>
      </c>
    </row>
    <row r="81" spans="1:69" outlineLevel="1">
      <c r="E81" s="2" t="str">
        <f t="shared" ref="E81:BQ81" si="31" xml:space="preserve">  E$47</f>
        <v>Corporation tax POS</v>
      </c>
      <c r="F81" s="2">
        <f t="shared" si="31"/>
        <v>0</v>
      </c>
      <c r="G81" s="2" t="str">
        <f t="shared" si="31"/>
        <v>GBP</v>
      </c>
      <c r="H81" s="2">
        <f t="shared" ca="1" si="31"/>
        <v>22617966.144558292</v>
      </c>
      <c r="I81" s="2">
        <f t="shared" si="31"/>
        <v>0</v>
      </c>
      <c r="J81" s="2">
        <f t="shared" ca="1" si="31"/>
        <v>0</v>
      </c>
      <c r="K81" s="2">
        <f t="shared" ca="1" si="31"/>
        <v>0</v>
      </c>
      <c r="L81" s="2">
        <f t="shared" ca="1" si="31"/>
        <v>0</v>
      </c>
      <c r="M81" s="2">
        <f t="shared" ca="1" si="31"/>
        <v>0</v>
      </c>
      <c r="N81" s="2">
        <f t="shared" ca="1" si="31"/>
        <v>0</v>
      </c>
      <c r="O81" s="2">
        <f t="shared" ca="1" si="31"/>
        <v>0</v>
      </c>
      <c r="P81" s="2">
        <f t="shared" ca="1" si="31"/>
        <v>0</v>
      </c>
      <c r="Q81" s="2">
        <f t="shared" ca="1" si="31"/>
        <v>5297.5594239995407</v>
      </c>
      <c r="R81" s="2">
        <f t="shared" ca="1" si="31"/>
        <v>18157.02241172635</v>
      </c>
      <c r="S81" s="2">
        <f t="shared" ca="1" si="31"/>
        <v>17927.423266760976</v>
      </c>
      <c r="T81" s="2">
        <f t="shared" ca="1" si="31"/>
        <v>41927.423266760976</v>
      </c>
      <c r="U81" s="2">
        <f t="shared" ca="1" si="31"/>
        <v>41927.423266760976</v>
      </c>
      <c r="V81" s="2">
        <f t="shared" ca="1" si="31"/>
        <v>64843.731441226148</v>
      </c>
      <c r="W81" s="2">
        <f t="shared" ca="1" si="31"/>
        <v>81450.103636656568</v>
      </c>
      <c r="X81" s="2">
        <f t="shared" ca="1" si="31"/>
        <v>86975.417543960823</v>
      </c>
      <c r="Y81" s="2">
        <f t="shared" ca="1" si="31"/>
        <v>106969.02369459935</v>
      </c>
      <c r="Z81" s="2">
        <f t="shared" ca="1" si="31"/>
        <v>108636.60582098035</v>
      </c>
      <c r="AA81" s="2">
        <f t="shared" ca="1" si="31"/>
        <v>107493.62442285629</v>
      </c>
      <c r="AB81" s="2">
        <f t="shared" ca="1" si="31"/>
        <v>106036.43112636049</v>
      </c>
      <c r="AC81" s="2">
        <f t="shared" ca="1" si="31"/>
        <v>104753.47788504262</v>
      </c>
      <c r="AD81" s="2">
        <f t="shared" ca="1" si="31"/>
        <v>103394.23627407773</v>
      </c>
      <c r="AE81" s="2">
        <f t="shared" ca="1" si="31"/>
        <v>101701.13157789549</v>
      </c>
      <c r="AF81" s="2">
        <f t="shared" ca="1" si="31"/>
        <v>112175.43445510446</v>
      </c>
      <c r="AG81" s="2">
        <f t="shared" ca="1" si="31"/>
        <v>122559.01466033724</v>
      </c>
      <c r="AH81" s="2">
        <f t="shared" ca="1" si="31"/>
        <v>127604.51582680501</v>
      </c>
      <c r="AI81" s="2">
        <f t="shared" ca="1" si="31"/>
        <v>147390.14595304275</v>
      </c>
      <c r="AJ81" s="2">
        <f t="shared" ca="1" si="31"/>
        <v>167067.88803227435</v>
      </c>
      <c r="AK81" s="2">
        <f t="shared" ca="1" si="31"/>
        <v>174366.76575789059</v>
      </c>
      <c r="AL81" s="2">
        <f t="shared" ca="1" si="31"/>
        <v>183825.10419476594</v>
      </c>
      <c r="AM81" s="2">
        <f t="shared" ca="1" si="31"/>
        <v>198339.14139851776</v>
      </c>
      <c r="AN81" s="2">
        <f t="shared" ca="1" si="31"/>
        <v>212446.26056377805</v>
      </c>
      <c r="AO81" s="2">
        <f t="shared" ca="1" si="31"/>
        <v>216696.35408114234</v>
      </c>
      <c r="AP81" s="2">
        <f t="shared" ca="1" si="31"/>
        <v>237977.87085921253</v>
      </c>
      <c r="AQ81" s="2">
        <f t="shared" ca="1" si="31"/>
        <v>246819.46626428538</v>
      </c>
      <c r="AR81" s="2">
        <f t="shared" ca="1" si="31"/>
        <v>267768.07201870339</v>
      </c>
      <c r="AS81" s="2">
        <f t="shared" ca="1" si="31"/>
        <v>288535.23242916894</v>
      </c>
      <c r="AT81" s="2">
        <f t="shared" ca="1" si="31"/>
        <v>307350.94543901522</v>
      </c>
      <c r="AU81" s="2">
        <f t="shared" ca="1" si="31"/>
        <v>337436.1946685852</v>
      </c>
      <c r="AV81" s="2">
        <f t="shared" ca="1" si="31"/>
        <v>366456.17738266988</v>
      </c>
      <c r="AW81" s="2">
        <f t="shared" ca="1" si="31"/>
        <v>394056.47162045602</v>
      </c>
      <c r="AX81" s="2">
        <f t="shared" ca="1" si="31"/>
        <v>432752.12254076015</v>
      </c>
      <c r="AY81" s="2">
        <f t="shared" ca="1" si="31"/>
        <v>458180.95094147511</v>
      </c>
      <c r="AZ81" s="2">
        <f t="shared" ca="1" si="31"/>
        <v>493969.4772724004</v>
      </c>
      <c r="BA81" s="2">
        <f t="shared" ca="1" si="31"/>
        <v>540634.19376632455</v>
      </c>
      <c r="BB81" s="2">
        <f t="shared" ca="1" si="31"/>
        <v>573792.39590650739</v>
      </c>
      <c r="BC81" s="2">
        <f t="shared" ca="1" si="31"/>
        <v>617048.47596276156</v>
      </c>
      <c r="BD81" s="2">
        <f t="shared" ca="1" si="31"/>
        <v>658919.57655672508</v>
      </c>
      <c r="BE81" s="2">
        <f t="shared" ca="1" si="31"/>
        <v>710999.11956236558</v>
      </c>
      <c r="BF81" s="2">
        <f t="shared" ca="1" si="31"/>
        <v>758718.02111665346</v>
      </c>
      <c r="BG81" s="2">
        <f t="shared" ca="1" si="31"/>
        <v>804728.51957579353</v>
      </c>
      <c r="BH81" s="2">
        <f t="shared" ca="1" si="31"/>
        <v>860608.48500396276</v>
      </c>
      <c r="BI81" s="2">
        <f t="shared" ca="1" si="31"/>
        <v>913911.00341566838</v>
      </c>
      <c r="BJ81" s="2">
        <f t="shared" ca="1" si="31"/>
        <v>972822.30525627686</v>
      </c>
      <c r="BK81" s="2">
        <f t="shared" ca="1" si="31"/>
        <v>1029199.9620577066</v>
      </c>
      <c r="BL81" s="2">
        <f t="shared" ca="1" si="31"/>
        <v>1094565.307802212</v>
      </c>
      <c r="BM81" s="2">
        <f t="shared" ca="1" si="31"/>
        <v>1153094.7407900603</v>
      </c>
      <c r="BN81" s="2">
        <f t="shared" ca="1" si="31"/>
        <v>1220611.1450704257</v>
      </c>
      <c r="BO81" s="2">
        <f t="shared" ca="1" si="31"/>
        <v>1296601.7209692171</v>
      </c>
      <c r="BP81" s="2">
        <f t="shared" ca="1" si="31"/>
        <v>1369543.9221571442</v>
      </c>
      <c r="BQ81" s="2">
        <f t="shared" ca="1" si="31"/>
        <v>1450903.0081684254</v>
      </c>
    </row>
    <row r="82" spans="1:69" outlineLevel="1">
      <c r="A82" s="18"/>
      <c r="B82" s="18"/>
      <c r="C82" s="28"/>
      <c r="D82" s="27"/>
      <c r="E82" s="4" t="str">
        <f xml:space="preserve">  'Income Statement'!E$19</f>
        <v>Profit before tax</v>
      </c>
      <c r="F82" s="4">
        <f xml:space="preserve">  'Income Statement'!F$19</f>
        <v>0</v>
      </c>
      <c r="G82" s="4" t="str">
        <f xml:space="preserve">  'Income Statement'!G$19</f>
        <v>GBP</v>
      </c>
      <c r="H82" s="4">
        <f ca="1" xml:space="preserve">  'Income Statement'!H$19</f>
        <v>96202238.681178764</v>
      </c>
      <c r="I82" s="4">
        <f xml:space="preserve">  'Income Statement'!I$19</f>
        <v>0</v>
      </c>
      <c r="J82" s="4">
        <f ca="1" xml:space="preserve">  'Income Statement'!J$19</f>
        <v>-34108.333333333336</v>
      </c>
      <c r="K82" s="4">
        <f ca="1" xml:space="preserve">  'Income Statement'!K$19</f>
        <v>-29400</v>
      </c>
      <c r="L82" s="4">
        <f ca="1" xml:space="preserve">  'Income Statement'!L$19</f>
        <v>-4208.333333333333</v>
      </c>
      <c r="M82" s="4">
        <f ca="1" xml:space="preserve">  'Income Statement'!M$19</f>
        <v>4564.4687786891827</v>
      </c>
      <c r="N82" s="4">
        <f ca="1" xml:space="preserve">  'Income Statement'!N$19</f>
        <v>-14235.612239829337</v>
      </c>
      <c r="O82" s="4">
        <f ca="1" xml:space="preserve">  'Income Statement'!O$19</f>
        <v>-21404.30099368736</v>
      </c>
      <c r="P82" s="4">
        <f ca="1" xml:space="preserve">  'Income Statement'!P$19</f>
        <v>37497.737786030149</v>
      </c>
      <c r="Q82" s="4">
        <f ca="1" xml:space="preserve">  'Income Statement'!Q$19</f>
        <v>27845.961714055207</v>
      </c>
      <c r="R82" s="4">
        <f ca="1" xml:space="preserve">  'Income Statement'!R$19</f>
        <v>77931.759645079233</v>
      </c>
      <c r="S82" s="4">
        <f ca="1" xml:space="preserve">  'Income Statement'!S$19</f>
        <v>47204.042493039276</v>
      </c>
      <c r="T82" s="4">
        <f ca="1" xml:space="preserve">  'Income Statement'!T$19</f>
        <v>166589.03168084897</v>
      </c>
      <c r="U82" s="4">
        <f ca="1" xml:space="preserve">  'Income Statement'!U$19</f>
        <v>153186.17409694433</v>
      </c>
      <c r="V82" s="4">
        <f ca="1" xml:space="preserve">  'Income Statement'!V$19</f>
        <v>250155.94867358386</v>
      </c>
      <c r="W82" s="4">
        <f ca="1" xml:space="preserve">  'Income Statement'!W$19</f>
        <v>332114.72806181427</v>
      </c>
      <c r="X82" s="4">
        <f ca="1" xml:space="preserve">  'Income Statement'!X$19</f>
        <v>343979.78046093503</v>
      </c>
      <c r="Y82" s="4">
        <f ca="1" xml:space="preserve">  'Income Statement'!Y$19</f>
        <v>450235.61186133913</v>
      </c>
      <c r="Z82" s="4">
        <f ca="1" xml:space="preserve">  'Income Statement'!Z$19</f>
        <v>457044.84421222011</v>
      </c>
      <c r="AA82" s="4">
        <f ca="1" xml:space="preserve">  'Income Statement'!AA$19</f>
        <v>449922.97230674134</v>
      </c>
      <c r="AB82" s="4">
        <f ca="1" xml:space="preserve">  'Income Statement'!AB$19</f>
        <v>449300.95174125285</v>
      </c>
      <c r="AC82" s="4">
        <f ca="1" xml:space="preserve">  'Income Statement'!AC$19</f>
        <v>441411.09680788091</v>
      </c>
      <c r="AD82" s="4">
        <f ca="1" xml:space="preserve">  'Income Statement'!AD$19</f>
        <v>425831.81761211192</v>
      </c>
      <c r="AE82" s="4">
        <f ca="1" xml:space="preserve">  'Income Statement'!AE$19</f>
        <v>416792.58706557332</v>
      </c>
      <c r="AF82" s="4">
        <f ca="1" xml:space="preserve">  'Income Statement'!AF$19</f>
        <v>460117.07662483642</v>
      </c>
      <c r="AG82" s="4">
        <f ca="1" xml:space="preserve">  'Income Statement'!AG$19</f>
        <v>502572.20385866781</v>
      </c>
      <c r="AH82" s="4">
        <f ca="1" xml:space="preserve">  'Income Statement'!AH$19</f>
        <v>510628.09314002132</v>
      </c>
      <c r="AI82" s="4">
        <f ca="1" xml:space="preserve">  'Income Statement'!AI$19</f>
        <v>603356.08346540469</v>
      </c>
      <c r="AJ82" s="4">
        <f ca="1" xml:space="preserve">  'Income Statement'!AJ$19</f>
        <v>686941.16801294358</v>
      </c>
      <c r="AK82" s="4">
        <f ca="1" xml:space="preserve">  'Income Statement'!AK$19</f>
        <v>725377.56798054255</v>
      </c>
      <c r="AL82" s="4">
        <f ca="1" xml:space="preserve">  'Income Statement'!AL$19</f>
        <v>769045.97936529061</v>
      </c>
      <c r="AM82" s="4">
        <f ca="1" xml:space="preserve">  'Income Statement'!AM$19</f>
        <v>833648.29906218336</v>
      </c>
      <c r="AN82" s="4">
        <f ca="1" xml:space="preserve">  'Income Statement'!AN$19</f>
        <v>903492.12021891819</v>
      </c>
      <c r="AO82" s="4">
        <f ca="1" xml:space="preserve">  'Income Statement'!AO$19</f>
        <v>909452.55374740507</v>
      </c>
      <c r="AP82" s="4">
        <f ca="1" xml:space="preserve">  'Income Statement'!AP$19</f>
        <v>1011697.4661096301</v>
      </c>
      <c r="AQ82" s="4">
        <f ca="1" xml:space="preserve">  'Income Statement'!AQ$19</f>
        <v>1048929.0634760957</v>
      </c>
      <c r="AR82" s="4">
        <f ca="1" xml:space="preserve">  'Income Statement'!AR$19</f>
        <v>1132099.2422972966</v>
      </c>
      <c r="AS82" s="4">
        <f ca="1" xml:space="preserve">  'Income Statement'!AS$19</f>
        <v>1228932.9381466892</v>
      </c>
      <c r="AT82" s="4">
        <f ca="1" xml:space="preserve">  'Income Statement'!AT$19</f>
        <v>1308705.6653069963</v>
      </c>
      <c r="AU82" s="4">
        <f ca="1" xml:space="preserve">  'Income Statement'!AU$19</f>
        <v>1430664.7629854418</v>
      </c>
      <c r="AV82" s="4">
        <f ca="1" xml:space="preserve">  'Income Statement'!AV$19</f>
        <v>1562329.1482450871</v>
      </c>
      <c r="AW82" s="4">
        <f ca="1" xml:space="preserve">  'Income Statement'!AW$19</f>
        <v>1672787.8217100885</v>
      </c>
      <c r="AX82" s="4">
        <f ca="1" xml:space="preserve">  'Income Statement'!AX$19</f>
        <v>1853812.0579575528</v>
      </c>
      <c r="AY82" s="4">
        <f ca="1" xml:space="preserve">  'Income Statement'!AY$19</f>
        <v>1954455.3788330862</v>
      </c>
      <c r="AZ82" s="4">
        <f ca="1" xml:space="preserve">  'Income Statement'!AZ$19</f>
        <v>2100174.9432763481</v>
      </c>
      <c r="BA82" s="4">
        <f ca="1" xml:space="preserve">  'Income Statement'!BA$19</f>
        <v>2315463.0171238449</v>
      </c>
      <c r="BB82" s="4">
        <f ca="1" xml:space="preserve">  'Income Statement'!BB$19</f>
        <v>2449276.2460095258</v>
      </c>
      <c r="BC82" s="4">
        <f ca="1" xml:space="preserve">  'Income Statement'!BC$19</f>
        <v>2641550.5787420999</v>
      </c>
      <c r="BD82" s="4">
        <f ca="1" xml:space="preserve">  'Income Statement'!BD$19</f>
        <v>2813037.9980360596</v>
      </c>
      <c r="BE82" s="4">
        <f ca="1" xml:space="preserve">  'Income Statement'!BE$19</f>
        <v>3043624.302224718</v>
      </c>
      <c r="BF82" s="4">
        <f ca="1" xml:space="preserve">  'Income Statement'!BF$19</f>
        <v>3245926.9922869285</v>
      </c>
      <c r="BG82" s="4">
        <f ca="1" xml:space="preserve">  'Income Statement'!BG$19</f>
        <v>3441860.3988484684</v>
      </c>
      <c r="BH82" s="4">
        <f ca="1" xml:space="preserve">  'Income Statement'!BH$19</f>
        <v>3688053.2259388804</v>
      </c>
      <c r="BI82" s="4">
        <f ca="1" xml:space="preserve">  'Income Statement'!BI$19</f>
        <v>3907742.4781524311</v>
      </c>
      <c r="BJ82" s="4">
        <f ca="1" xml:space="preserve">  'Income Statement'!BJ$19</f>
        <v>4163792.4525445658</v>
      </c>
      <c r="BK82" s="4">
        <f ca="1" xml:space="preserve">  'Income Statement'!BK$19</f>
        <v>4403594.2488915641</v>
      </c>
      <c r="BL82" s="4">
        <f ca="1" xml:space="preserve">  'Income Statement'!BL$19</f>
        <v>4689486.4149569068</v>
      </c>
      <c r="BM82" s="4">
        <f ca="1" xml:space="preserve">  'Income Statement'!BM$19</f>
        <v>4927836.6730938852</v>
      </c>
      <c r="BN82" s="4">
        <f ca="1" xml:space="preserve">  'Income Statement'!BN$19</f>
        <v>5222332.5908721453</v>
      </c>
      <c r="BO82" s="4">
        <f ca="1" xml:space="preserve">  'Income Statement'!BO$19</f>
        <v>5545987.6441642093</v>
      </c>
      <c r="BP82" s="4">
        <f ca="1" xml:space="preserve">  'Income Statement'!BP$19</f>
        <v>5863146.1607214278</v>
      </c>
      <c r="BQ82" s="4">
        <f ca="1" xml:space="preserve">  'Income Statement'!BQ$19</f>
        <v>6202054.6896526581</v>
      </c>
    </row>
    <row r="83" spans="1:69" outlineLevel="1">
      <c r="E83" s="47" t="s">
        <v>305</v>
      </c>
      <c r="F83" s="57">
        <f ca="1" xml:space="preserve">  SUM( $J81:$BQ81 ) / SUM( $J82:$BQ82 )</f>
        <v>0.23510852194943074</v>
      </c>
      <c r="G83" s="47" t="s">
        <v>208</v>
      </c>
      <c r="M83" s="57"/>
    </row>
    <row r="86" spans="1:69">
      <c r="B86" s="25" t="s">
        <v>271</v>
      </c>
    </row>
  </sheetData>
  <conditionalFormatting sqref="F3">
    <cfRule type="cellIs" dxfId="212" priority="13" stopIfTrue="1" operator="notEqual">
      <formula>0</formula>
    </cfRule>
    <cfRule type="cellIs" dxfId="211" priority="14" stopIfTrue="1" operator="equal">
      <formula>""</formula>
    </cfRule>
  </conditionalFormatting>
  <conditionalFormatting sqref="J3:BQ3">
    <cfRule type="cellIs" dxfId="210" priority="11" stopIfTrue="1" operator="equal">
      <formula>"Construction"</formula>
    </cfRule>
    <cfRule type="cellIs" dxfId="209" priority="12" stopIfTrue="1" operator="equal">
      <formula>"Operations"</formula>
    </cfRule>
  </conditionalFormatting>
  <conditionalFormatting sqref="J3:BQ3">
    <cfRule type="cellIs" dxfId="208" priority="10" operator="equal">
      <formula>"Fin Close"</formula>
    </cfRule>
  </conditionalFormatting>
  <conditionalFormatting sqref="J3:BQ3">
    <cfRule type="cellIs" dxfId="207" priority="8" operator="equal">
      <formula>"PPA ext."</formula>
    </cfRule>
    <cfRule type="cellIs" dxfId="206" priority="9" operator="equal">
      <formula>"Delay"</formula>
    </cfRule>
  </conditionalFormatting>
  <conditionalFormatting sqref="F2">
    <cfRule type="cellIs" dxfId="205" priority="1" stopIfTrue="1" operator="notEqual">
      <formula>0</formula>
    </cfRule>
    <cfRule type="cellIs" dxfId="204"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5" customWidth="1"/>
    <col min="3" max="3" width="1.44140625" style="62" customWidth="1"/>
    <col min="4" max="4" width="1.44140625" style="91" customWidth="1"/>
    <col min="5" max="5" width="27.109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218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43" width="12.109375" style="47" bestFit="1" customWidth="1"/>
    <col min="44" max="44" width="12" style="47" bestFit="1" customWidth="1"/>
    <col min="45" max="45" width="11.77734375" style="47" bestFit="1" customWidth="1"/>
    <col min="46" max="46" width="12.33203125" style="47" bestFit="1" customWidth="1"/>
    <col min="47" max="47" width="12.109375" style="47" bestFit="1" customWidth="1"/>
    <col min="48" max="48" width="11.21875" style="47" bestFit="1" customWidth="1"/>
    <col min="49" max="49" width="12.33203125" style="47" bestFit="1" customWidth="1"/>
    <col min="50" max="50" width="12.21875" style="47" bestFit="1" customWidth="1"/>
    <col min="51" max="51" width="11.77734375" style="47" bestFit="1" customWidth="1"/>
    <col min="52" max="52" width="12.33203125" style="47" bestFit="1" customWidth="1"/>
    <col min="53" max="53" width="12.21875" style="47" bestFit="1" customWidth="1"/>
    <col min="54" max="54" width="11.88671875" style="47" bestFit="1" customWidth="1"/>
    <col min="55" max="55" width="12.109375" style="47" bestFit="1" customWidth="1"/>
    <col min="56" max="56" width="12" style="47" bestFit="1" customWidth="1"/>
    <col min="57" max="57" width="11.77734375" style="47" bestFit="1" customWidth="1"/>
    <col min="58" max="58" width="12.33203125" style="47" bestFit="1" customWidth="1"/>
    <col min="59" max="59" width="12.109375" style="47" bestFit="1" customWidth="1"/>
    <col min="60" max="60" width="11.21875" style="47" bestFit="1" customWidth="1"/>
    <col min="61" max="61" width="12.33203125" style="47" bestFit="1" customWidth="1"/>
    <col min="62" max="62" width="12.21875" style="47" bestFit="1" customWidth="1"/>
    <col min="63" max="63" width="11.77734375" style="47" bestFit="1" customWidth="1"/>
    <col min="64" max="64" width="12.33203125" style="47" bestFit="1" customWidth="1"/>
    <col min="65" max="65" width="12.21875" style="47" bestFit="1" customWidth="1"/>
    <col min="66" max="66" width="11.88671875" style="47" bestFit="1" customWidth="1"/>
    <col min="67" max="67" width="12.109375" style="47" bestFit="1" customWidth="1"/>
    <col min="68" max="68" width="12" style="47" bestFit="1" customWidth="1"/>
    <col min="69" max="69" width="11.777343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Equity</v>
      </c>
      <c r="B1" s="86"/>
      <c r="C1" s="85"/>
      <c r="D1" s="93"/>
      <c r="F1" s="53" t="str">
        <f>HYPERLINK("#Contents!A1","Go to contents")</f>
        <v>Go to contents</v>
      </c>
      <c r="H1" s="58"/>
      <c r="J1" s="58"/>
    </row>
    <row r="2" spans="1:69" s="55" customFormat="1">
      <c r="A2" s="60"/>
      <c r="B2" s="60"/>
      <c r="C2" s="83"/>
      <c r="D2" s="89"/>
      <c r="E2" s="22" t="s">
        <v>331</v>
      </c>
      <c r="F2" s="52">
        <f ca="1" xml:space="preserve"> 'Model Checks and Alerts'!F11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B8" s="25" t="s">
        <v>17</v>
      </c>
    </row>
    <row r="9" spans="1:69" s="82" customFormat="1">
      <c r="A9" s="59"/>
      <c r="B9" s="59"/>
      <c r="C9" s="87"/>
      <c r="D9" s="84"/>
      <c r="E9" s="40" t="str">
        <f xml:space="preserve">  InpC!E$47</f>
        <v>Opening Share Capital</v>
      </c>
      <c r="F9" s="40">
        <f xml:space="preserve">  InpC!F$47</f>
        <v>0</v>
      </c>
      <c r="G9" s="40" t="str">
        <f xml:space="preserve">  InpC!G$47</f>
        <v>GBP</v>
      </c>
      <c r="M9" s="80"/>
    </row>
    <row r="10" spans="1:69">
      <c r="A10" s="18"/>
      <c r="B10" s="18"/>
      <c r="C10" s="28"/>
      <c r="D10" s="27"/>
      <c r="E10" s="9" t="str">
        <f xml:space="preserve">  Time!E$28</f>
        <v>Period number</v>
      </c>
      <c r="F10" s="9">
        <f xml:space="preserve">  Time!F$28</f>
        <v>0</v>
      </c>
      <c r="G10" s="9" t="str">
        <f xml:space="preserve">  Time!G$28</f>
        <v>Counter</v>
      </c>
      <c r="H10" s="9">
        <f xml:space="preserve">  Time!H$28</f>
        <v>0</v>
      </c>
      <c r="I10" s="9">
        <f xml:space="preserve">  Time!I$28</f>
        <v>0</v>
      </c>
      <c r="J10" s="9">
        <f xml:space="preserve">  Time!J$28</f>
        <v>1</v>
      </c>
      <c r="K10" s="9">
        <f xml:space="preserve">  Time!K$28</f>
        <v>2</v>
      </c>
      <c r="L10" s="9">
        <f xml:space="preserve">  Time!L$28</f>
        <v>3</v>
      </c>
      <c r="M10" s="9">
        <f xml:space="preserve">  Time!M$28</f>
        <v>4</v>
      </c>
      <c r="N10" s="9">
        <f xml:space="preserve">  Time!N$28</f>
        <v>5</v>
      </c>
      <c r="O10" s="9">
        <f xml:space="preserve">  Time!O$28</f>
        <v>6</v>
      </c>
      <c r="P10" s="9">
        <f xml:space="preserve">  Time!P$28</f>
        <v>7</v>
      </c>
      <c r="Q10" s="9">
        <f xml:space="preserve">  Time!Q$28</f>
        <v>8</v>
      </c>
      <c r="R10" s="9">
        <f xml:space="preserve">  Time!R$28</f>
        <v>9</v>
      </c>
      <c r="S10" s="9">
        <f xml:space="preserve">  Time!S$28</f>
        <v>10</v>
      </c>
      <c r="T10" s="9">
        <f xml:space="preserve">  Time!T$28</f>
        <v>11</v>
      </c>
      <c r="U10" s="9">
        <f xml:space="preserve">  Time!U$28</f>
        <v>12</v>
      </c>
      <c r="V10" s="9">
        <f xml:space="preserve">  Time!V$28</f>
        <v>13</v>
      </c>
      <c r="W10" s="9">
        <f xml:space="preserve">  Time!W$28</f>
        <v>14</v>
      </c>
      <c r="X10" s="9">
        <f xml:space="preserve">  Time!X$28</f>
        <v>15</v>
      </c>
      <c r="Y10" s="9">
        <f xml:space="preserve">  Time!Y$28</f>
        <v>16</v>
      </c>
      <c r="Z10" s="9">
        <f xml:space="preserve">  Time!Z$28</f>
        <v>17</v>
      </c>
      <c r="AA10" s="9">
        <f xml:space="preserve">  Time!AA$28</f>
        <v>18</v>
      </c>
      <c r="AB10" s="9">
        <f xml:space="preserve">  Time!AB$28</f>
        <v>19</v>
      </c>
      <c r="AC10" s="9">
        <f xml:space="preserve">  Time!AC$28</f>
        <v>20</v>
      </c>
      <c r="AD10" s="9">
        <f xml:space="preserve">  Time!AD$28</f>
        <v>21</v>
      </c>
      <c r="AE10" s="9">
        <f xml:space="preserve">  Time!AE$28</f>
        <v>22</v>
      </c>
      <c r="AF10" s="9">
        <f xml:space="preserve">  Time!AF$28</f>
        <v>23</v>
      </c>
      <c r="AG10" s="9">
        <f xml:space="preserve">  Time!AG$28</f>
        <v>24</v>
      </c>
      <c r="AH10" s="9">
        <f xml:space="preserve">  Time!AH$28</f>
        <v>25</v>
      </c>
      <c r="AI10" s="9">
        <f xml:space="preserve">  Time!AI$28</f>
        <v>26</v>
      </c>
      <c r="AJ10" s="9">
        <f xml:space="preserve">  Time!AJ$28</f>
        <v>27</v>
      </c>
      <c r="AK10" s="9">
        <f xml:space="preserve">  Time!AK$28</f>
        <v>28</v>
      </c>
      <c r="AL10" s="9">
        <f xml:space="preserve">  Time!AL$28</f>
        <v>29</v>
      </c>
      <c r="AM10" s="9">
        <f xml:space="preserve">  Time!AM$28</f>
        <v>30</v>
      </c>
      <c r="AN10" s="9">
        <f xml:space="preserve">  Time!AN$28</f>
        <v>31</v>
      </c>
      <c r="AO10" s="9">
        <f xml:space="preserve">  Time!AO$28</f>
        <v>32</v>
      </c>
      <c r="AP10" s="9">
        <f xml:space="preserve">  Time!AP$28</f>
        <v>33</v>
      </c>
      <c r="AQ10" s="9">
        <f xml:space="preserve">  Time!AQ$28</f>
        <v>34</v>
      </c>
      <c r="AR10" s="9">
        <f xml:space="preserve">  Time!AR$28</f>
        <v>35</v>
      </c>
      <c r="AS10" s="9">
        <f xml:space="preserve">  Time!AS$28</f>
        <v>36</v>
      </c>
      <c r="AT10" s="9">
        <f xml:space="preserve">  Time!AT$28</f>
        <v>37</v>
      </c>
      <c r="AU10" s="9">
        <f xml:space="preserve">  Time!AU$28</f>
        <v>38</v>
      </c>
      <c r="AV10" s="9">
        <f xml:space="preserve">  Time!AV$28</f>
        <v>39</v>
      </c>
      <c r="AW10" s="9">
        <f xml:space="preserve">  Time!AW$28</f>
        <v>40</v>
      </c>
      <c r="AX10" s="9">
        <f xml:space="preserve">  Time!AX$28</f>
        <v>41</v>
      </c>
      <c r="AY10" s="9">
        <f xml:space="preserve">  Time!AY$28</f>
        <v>42</v>
      </c>
      <c r="AZ10" s="9">
        <f xml:space="preserve">  Time!AZ$28</f>
        <v>43</v>
      </c>
      <c r="BA10" s="9">
        <f xml:space="preserve">  Time!BA$28</f>
        <v>44</v>
      </c>
      <c r="BB10" s="9">
        <f xml:space="preserve">  Time!BB$28</f>
        <v>45</v>
      </c>
      <c r="BC10" s="9">
        <f xml:space="preserve">  Time!BC$28</f>
        <v>46</v>
      </c>
      <c r="BD10" s="9">
        <f xml:space="preserve">  Time!BD$28</f>
        <v>47</v>
      </c>
      <c r="BE10" s="9">
        <f xml:space="preserve">  Time!BE$28</f>
        <v>48</v>
      </c>
      <c r="BF10" s="9">
        <f xml:space="preserve">  Time!BF$28</f>
        <v>49</v>
      </c>
      <c r="BG10" s="9">
        <f xml:space="preserve">  Time!BG$28</f>
        <v>50</v>
      </c>
      <c r="BH10" s="9">
        <f xml:space="preserve">  Time!BH$28</f>
        <v>51</v>
      </c>
      <c r="BI10" s="9">
        <f xml:space="preserve">  Time!BI$28</f>
        <v>52</v>
      </c>
      <c r="BJ10" s="9">
        <f xml:space="preserve">  Time!BJ$28</f>
        <v>53</v>
      </c>
      <c r="BK10" s="9">
        <f xml:space="preserve">  Time!BK$28</f>
        <v>54</v>
      </c>
      <c r="BL10" s="9">
        <f xml:space="preserve">  Time!BL$28</f>
        <v>55</v>
      </c>
      <c r="BM10" s="9">
        <f xml:space="preserve">  Time!BM$28</f>
        <v>56</v>
      </c>
      <c r="BN10" s="9">
        <f xml:space="preserve">  Time!BN$28</f>
        <v>57</v>
      </c>
      <c r="BO10" s="9">
        <f xml:space="preserve">  Time!BO$28</f>
        <v>58</v>
      </c>
      <c r="BP10" s="9">
        <f xml:space="preserve">  Time!BP$28</f>
        <v>59</v>
      </c>
      <c r="BQ10" s="9">
        <f xml:space="preserve">  Time!BQ$28</f>
        <v>60</v>
      </c>
    </row>
    <row r="11" spans="1:69">
      <c r="E11" s="47" t="s">
        <v>40</v>
      </c>
      <c r="G11" s="47" t="s">
        <v>258</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28"/>
      <c r="D12" s="27" t="s">
        <v>219</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1" customFormat="1">
      <c r="A13" s="63"/>
      <c r="B13" s="63"/>
      <c r="C13" s="88"/>
      <c r="D13" s="90"/>
      <c r="E13" s="33" t="s">
        <v>17</v>
      </c>
      <c r="F13" s="33"/>
      <c r="G13" s="33" t="s">
        <v>258</v>
      </c>
      <c r="H13" s="33"/>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5" t="s">
        <v>271</v>
      </c>
    </row>
  </sheetData>
  <conditionalFormatting sqref="F3">
    <cfRule type="cellIs" dxfId="203" priority="13" stopIfTrue="1" operator="notEqual">
      <formula>0</formula>
    </cfRule>
    <cfRule type="cellIs" dxfId="202" priority="14" stopIfTrue="1" operator="equal">
      <formula>""</formula>
    </cfRule>
  </conditionalFormatting>
  <conditionalFormatting sqref="J3:BQ3">
    <cfRule type="cellIs" dxfId="201" priority="11" stopIfTrue="1" operator="equal">
      <formula>"Construction"</formula>
    </cfRule>
    <cfRule type="cellIs" dxfId="200" priority="12" stopIfTrue="1" operator="equal">
      <formula>"Operations"</formula>
    </cfRule>
  </conditionalFormatting>
  <conditionalFormatting sqref="J3:BQ3">
    <cfRule type="cellIs" dxfId="199" priority="10" operator="equal">
      <formula>"Fin Close"</formula>
    </cfRule>
  </conditionalFormatting>
  <conditionalFormatting sqref="J3:BQ3">
    <cfRule type="cellIs" dxfId="198" priority="8" operator="equal">
      <formula>"PPA ext."</formula>
    </cfRule>
    <cfRule type="cellIs" dxfId="197" priority="9" operator="equal">
      <formula>"Delay"</formula>
    </cfRule>
  </conditionalFormatting>
  <conditionalFormatting sqref="F2">
    <cfRule type="cellIs" dxfId="196" priority="1" stopIfTrue="1" operator="notEqual">
      <formula>0</formula>
    </cfRule>
    <cfRule type="cellIs" dxfId="195"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outlineLevelRow="2"/>
  <cols>
    <col min="1" max="2" width="1.44140625" style="25" customWidth="1"/>
    <col min="3" max="3" width="1.44140625" style="62" customWidth="1"/>
    <col min="4" max="4" width="1.44140625" style="91" customWidth="1"/>
    <col min="5" max="5" width="33.77734375" style="47" bestFit="1" customWidth="1"/>
    <col min="6" max="6" width="20.5546875" style="47" bestFit="1" customWidth="1"/>
    <col min="7" max="7" width="13.21875" style="47" bestFit="1" customWidth="1"/>
    <col min="8" max="8" width="7.6640625" style="47" bestFit="1" customWidth="1"/>
    <col min="9" max="9" width="3.44140625" style="47" customWidth="1"/>
    <col min="10" max="10" width="12.33203125" style="47" bestFit="1" customWidth="1"/>
    <col min="11" max="11" width="12.109375" style="47" bestFit="1" customWidth="1"/>
    <col min="12" max="12" width="11.21875" style="47" bestFit="1" customWidth="1"/>
    <col min="13" max="13" width="12.33203125" style="47" bestFit="1" customWidth="1"/>
    <col min="14" max="14" width="12.21875" style="47" bestFit="1" customWidth="1"/>
    <col min="15" max="15" width="11.77734375" style="47" bestFit="1" customWidth="1"/>
    <col min="16" max="16" width="12.33203125" style="47" bestFit="1" customWidth="1"/>
    <col min="17" max="17" width="12.21875" style="47" bestFit="1" customWidth="1"/>
    <col min="18" max="18" width="11.88671875" style="47" bestFit="1" customWidth="1"/>
    <col min="19" max="19" width="12.109375" style="47" bestFit="1" customWidth="1"/>
    <col min="20" max="20" width="12" style="47" bestFit="1" customWidth="1"/>
    <col min="21" max="21" width="11.77734375" style="47" bestFit="1" customWidth="1"/>
    <col min="22" max="22" width="12.33203125" style="47" bestFit="1" customWidth="1"/>
    <col min="23" max="23" width="12.109375" style="47" bestFit="1" customWidth="1"/>
    <col min="24" max="24" width="11.21875" style="47" bestFit="1" customWidth="1"/>
    <col min="25" max="25" width="12.33203125" style="47" bestFit="1" customWidth="1"/>
    <col min="26" max="26" width="12.21875" style="47" bestFit="1" customWidth="1"/>
    <col min="27" max="27" width="11.77734375" style="47" bestFit="1" customWidth="1"/>
    <col min="28" max="28" width="12.33203125" style="47" bestFit="1" customWidth="1"/>
    <col min="29" max="29" width="12.21875" style="47" bestFit="1" customWidth="1"/>
    <col min="30" max="30" width="11.88671875" style="47" bestFit="1" customWidth="1"/>
    <col min="31" max="31" width="12.109375" style="47" bestFit="1" customWidth="1"/>
    <col min="32" max="32" width="12" style="47" bestFit="1" customWidth="1"/>
    <col min="33" max="33" width="11.77734375" style="47" bestFit="1" customWidth="1"/>
    <col min="34" max="34" width="12.33203125" style="47" bestFit="1" customWidth="1"/>
    <col min="35" max="35" width="12.109375" style="47" bestFit="1" customWidth="1"/>
    <col min="36" max="36" width="11.77734375" style="47" bestFit="1" customWidth="1"/>
    <col min="37" max="37" width="12.33203125" style="47" bestFit="1" customWidth="1"/>
    <col min="38" max="38" width="12.21875" style="47" bestFit="1" customWidth="1"/>
    <col min="39" max="39" width="11.77734375" style="47" bestFit="1" customWidth="1"/>
    <col min="40" max="40" width="12.33203125" style="47" bestFit="1" customWidth="1"/>
    <col min="41" max="41" width="12.21875" style="47" bestFit="1" customWidth="1"/>
    <col min="42" max="42" width="11.88671875" style="47" bestFit="1" customWidth="1"/>
    <col min="43" max="69" width="13.21875" style="47" bestFit="1" customWidth="1"/>
    <col min="70" max="70" width="15.109375" style="47" hidden="1" customWidth="1"/>
    <col min="71" max="16384" width="15.109375" style="47" hidden="1"/>
  </cols>
  <sheetData>
    <row r="1" spans="1:69" s="69" customFormat="1" ht="25">
      <c r="A1" s="46" t="str">
        <f ca="1" xml:space="preserve"> RIGHT(CELL("filename", A1), LEN(CELL("filename", A1)) - SEARCH("]", CELL("filename", A1)))</f>
        <v>Model Checks and Alerts</v>
      </c>
      <c r="B1" s="86"/>
      <c r="C1" s="85"/>
      <c r="D1" s="93"/>
      <c r="F1" s="53" t="str">
        <f>HYPERLINK("#Contents!A1","Go to contents")</f>
        <v>Go to contents</v>
      </c>
      <c r="H1" s="58"/>
      <c r="J1" s="58"/>
    </row>
    <row r="2" spans="1:69" s="55" customFormat="1">
      <c r="A2" s="60"/>
      <c r="B2" s="60"/>
      <c r="C2" s="83"/>
      <c r="D2" s="89"/>
      <c r="E2" s="22" t="s">
        <v>331</v>
      </c>
      <c r="F2" s="52">
        <f ca="1" xml:space="preserve"> F11</f>
        <v>0</v>
      </c>
      <c r="G2" s="54" t="s">
        <v>144</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60"/>
      <c r="B3" s="60"/>
      <c r="C3" s="83"/>
      <c r="D3" s="89"/>
      <c r="E3" s="41" t="s">
        <v>206</v>
      </c>
      <c r="F3" s="52"/>
      <c r="G3" s="54" t="s">
        <v>98</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60"/>
      <c r="B4" s="60"/>
      <c r="C4" s="83"/>
      <c r="D4" s="89"/>
      <c r="E4" s="22" t="s">
        <v>332</v>
      </c>
      <c r="F4" s="25"/>
      <c r="G4" s="22"/>
      <c r="H4" s="22"/>
      <c r="I4" s="22"/>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60"/>
      <c r="B5" s="60"/>
      <c r="C5" s="83"/>
      <c r="D5" s="89"/>
      <c r="E5" s="22" t="s">
        <v>312</v>
      </c>
      <c r="F5" s="25" t="s">
        <v>254</v>
      </c>
      <c r="G5" s="25" t="s">
        <v>228</v>
      </c>
      <c r="H5" s="25" t="s">
        <v>205</v>
      </c>
      <c r="I5" s="22"/>
      <c r="J5" s="15"/>
      <c r="K5" s="15"/>
      <c r="L5" s="15"/>
      <c r="M5" s="15"/>
      <c r="N5" s="15"/>
      <c r="O5" s="15"/>
    </row>
    <row r="6" spans="1:69" s="41" customFormat="1">
      <c r="A6" s="25"/>
      <c r="B6" s="25"/>
      <c r="C6" s="62"/>
      <c r="D6" s="92"/>
      <c r="F6" s="25"/>
      <c r="G6" s="25"/>
      <c r="H6" s="25"/>
    </row>
    <row r="8" spans="1:69">
      <c r="A8" s="25" t="s">
        <v>18</v>
      </c>
    </row>
    <row r="9" spans="1:69" outlineLevel="1">
      <c r="B9" s="25" t="s">
        <v>138</v>
      </c>
    </row>
    <row r="10" spans="1:69" outlineLevel="2">
      <c r="E10" s="2" t="str">
        <f t="shared" ref="E10:G10" si="0" xml:space="preserve">  E$22</f>
        <v>Balance Sheet Balances overall</v>
      </c>
      <c r="F10" s="52">
        <f t="shared" ca="1" si="0"/>
        <v>0</v>
      </c>
      <c r="G10" s="2">
        <f t="shared" si="0"/>
        <v>0</v>
      </c>
      <c r="M10" s="2"/>
    </row>
    <row r="11" spans="1:69" outlineLevel="2">
      <c r="E11" s="47" t="s">
        <v>138</v>
      </c>
      <c r="F11" s="2">
        <f ca="1" xml:space="preserve">  SUM( $F10 )</f>
        <v>0</v>
      </c>
      <c r="M11" s="2"/>
    </row>
    <row r="12" spans="1:69" outlineLevel="1"/>
    <row r="13" spans="1:69" outlineLevel="1"/>
    <row r="14" spans="1:69" outlineLevel="1">
      <c r="B14" s="25" t="s">
        <v>306</v>
      </c>
    </row>
    <row r="15" spans="1:69" outlineLevel="2">
      <c r="A15" s="18"/>
      <c r="B15" s="18"/>
      <c r="C15" s="28"/>
      <c r="D15" s="27"/>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-34108.333333333336</v>
      </c>
      <c r="K15" s="4">
        <f ca="1" xml:space="preserve">  Financials!K$24</f>
        <v>-63508.333333333343</v>
      </c>
      <c r="L15" s="4">
        <f ca="1" xml:space="preserve">  Financials!L$24</f>
        <v>-67716.666666666744</v>
      </c>
      <c r="M15" s="4">
        <f ca="1" xml:space="preserve">  Financials!M$24</f>
        <v>-63152.197887977352</v>
      </c>
      <c r="N15" s="4">
        <f ca="1" xml:space="preserve">  Financials!N$24</f>
        <v>-77387.81012780685</v>
      </c>
      <c r="O15" s="4">
        <f ca="1" xml:space="preserve">  Financials!O$24</f>
        <v>-98792.111121494323</v>
      </c>
      <c r="P15" s="4">
        <f ca="1" xml:space="preserve">  Financials!P$24</f>
        <v>-61294.373335464392</v>
      </c>
      <c r="Q15" s="4">
        <f ca="1" xml:space="preserve">  Financials!Q$24</f>
        <v>-38745.971045408398</v>
      </c>
      <c r="R15" s="4">
        <f ca="1" xml:space="preserve">  Financials!R$24</f>
        <v>21028.766187945381</v>
      </c>
      <c r="S15" s="4">
        <f ca="1" xml:space="preserve">  Financials!S$24</f>
        <v>50305.385414223187</v>
      </c>
      <c r="T15" s="4">
        <f ca="1" xml:space="preserve">  Financials!T$24</f>
        <v>174966.99382831249</v>
      </c>
      <c r="U15" s="4">
        <f ca="1" xml:space="preserve">  Financials!U$24</f>
        <v>286225.7446584953</v>
      </c>
      <c r="V15" s="4">
        <f ca="1" xml:space="preserve">  Financials!V$24</f>
        <v>471537.96189085115</v>
      </c>
      <c r="W15" s="4">
        <f ca="1" xml:space="preserve">  Financials!W$24</f>
        <v>722202.58631600998</v>
      </c>
      <c r="X15" s="4">
        <f ca="1" xml:space="preserve">  Financials!X$24</f>
        <v>979206.9492329834</v>
      </c>
      <c r="Y15" s="4">
        <f ca="1" xml:space="preserve">  Financials!Y$24</f>
        <v>1322473.5373997232</v>
      </c>
      <c r="Z15" s="4">
        <f ca="1" xml:space="preserve">  Financials!Z$24</f>
        <v>1670881.7757909633</v>
      </c>
      <c r="AA15" s="4">
        <f ca="1" xml:space="preserve">  Financials!AA$24</f>
        <v>2013311.1236748509</v>
      </c>
      <c r="AB15" s="4">
        <f ca="1" xml:space="preserve">  Financials!AB$24</f>
        <v>2356575.6442897422</v>
      </c>
      <c r="AC15" s="4">
        <f ca="1" xml:space="preserve">  Financials!AC$24</f>
        <v>2693233.2632125784</v>
      </c>
      <c r="AD15" s="4">
        <f ca="1" xml:space="preserve">  Financials!AD$24</f>
        <v>3015670.8445506133</v>
      </c>
      <c r="AE15" s="4">
        <f ca="1" xml:space="preserve">  Financials!AE$24</f>
        <v>3330762.3000382911</v>
      </c>
      <c r="AF15" s="4">
        <f ca="1" xml:space="preserve">  Financials!AF$24</f>
        <v>3678703.9422080237</v>
      </c>
      <c r="AG15" s="4">
        <f ca="1" xml:space="preserve">  Financials!AG$24</f>
        <v>4058717.1314063519</v>
      </c>
      <c r="AH15" s="4">
        <f ca="1" xml:space="preserve">  Financials!AH$24</f>
        <v>4441740.7087195702</v>
      </c>
      <c r="AI15" s="4">
        <f ca="1" xml:space="preserve">  Financials!AI$24</f>
        <v>4897706.6462319307</v>
      </c>
      <c r="AJ15" s="4">
        <f ca="1" xml:space="preserve">  Financials!AJ$24</f>
        <v>5417579.9262126014</v>
      </c>
      <c r="AK15" s="4">
        <f ca="1" xml:space="preserve">  Financials!AK$24</f>
        <v>5968590.7284352519</v>
      </c>
      <c r="AL15" s="4">
        <f ca="1" xml:space="preserve">  Financials!AL$24</f>
        <v>6553811.6036057733</v>
      </c>
      <c r="AM15" s="4">
        <f ca="1" xml:space="preserve">  Financials!AM$24</f>
        <v>7189120.7612694446</v>
      </c>
      <c r="AN15" s="4">
        <f ca="1" xml:space="preserve">  Financials!AN$24</f>
        <v>7880166.6209245808</v>
      </c>
      <c r="AO15" s="4">
        <f ca="1" xml:space="preserve">  Financials!AO$24</f>
        <v>8572922.8205908444</v>
      </c>
      <c r="AP15" s="4">
        <f ca="1" xml:space="preserve">  Financials!AP$24</f>
        <v>9346642.4158412628</v>
      </c>
      <c r="AQ15" s="4">
        <f ca="1" xml:space="preserve">  Financials!AQ$24</f>
        <v>10148752.013053071</v>
      </c>
      <c r="AR15" s="4">
        <f ca="1" xml:space="preserve">  Financials!AR$24</f>
        <v>11013083.183331665</v>
      </c>
      <c r="AS15" s="4">
        <f ca="1" xml:space="preserve">  Financials!AS$24</f>
        <v>11953480.889049191</v>
      </c>
      <c r="AT15" s="4">
        <f ca="1" xml:space="preserve">  Financials!AT$24</f>
        <v>12954835.608917162</v>
      </c>
      <c r="AU15" s="4">
        <f ca="1" xml:space="preserve">  Financials!AU$24</f>
        <v>14048064.177234024</v>
      </c>
      <c r="AV15" s="4">
        <f ca="1" xml:space="preserve">  Financials!AV$24</f>
        <v>15243937.148096435</v>
      </c>
      <c r="AW15" s="4">
        <f ca="1" xml:space="preserve">  Financials!AW$24</f>
        <v>16522668.498186074</v>
      </c>
      <c r="AX15" s="4">
        <f ca="1" xml:space="preserve">  Financials!AX$24</f>
        <v>17943728.433602866</v>
      </c>
      <c r="AY15" s="4">
        <f ca="1" xml:space="preserve">  Financials!AY$24</f>
        <v>19440002.861494478</v>
      </c>
      <c r="AZ15" s="4">
        <f ca="1" xml:space="preserve">  Financials!AZ$24</f>
        <v>21046208.327498421</v>
      </c>
      <c r="BA15" s="4">
        <f ca="1" xml:space="preserve">  Financials!BA$24</f>
        <v>22821037.150855936</v>
      </c>
      <c r="BB15" s="4">
        <f ca="1" xml:space="preserve">  Financials!BB$24</f>
        <v>24696521.000958957</v>
      </c>
      <c r="BC15" s="4">
        <f ca="1" xml:space="preserve">  Financials!BC$24</f>
        <v>26721023.103738286</v>
      </c>
      <c r="BD15" s="4">
        <f ca="1" xml:space="preserve">  Financials!BD$24</f>
        <v>28875141.525217623</v>
      </c>
      <c r="BE15" s="4">
        <f ca="1" xml:space="preserve">  Financials!BE$24</f>
        <v>31207766.707879983</v>
      </c>
      <c r="BF15" s="4">
        <f ca="1" xml:space="preserve">  Financials!BF$24</f>
        <v>33694975.679050252</v>
      </c>
      <c r="BG15" s="4">
        <f ca="1" xml:space="preserve">  Financials!BG$24</f>
        <v>36332107.558322914</v>
      </c>
      <c r="BH15" s="4">
        <f ca="1" xml:space="preserve">  Financials!BH$24</f>
        <v>39159552.299257852</v>
      </c>
      <c r="BI15" s="4">
        <f ca="1" xml:space="preserve">  Financials!BI$24</f>
        <v>42153383.773994602</v>
      </c>
      <c r="BJ15" s="4">
        <f ca="1" xml:space="preserve">  Financials!BJ$24</f>
        <v>45344353.921282887</v>
      </c>
      <c r="BK15" s="4">
        <f ca="1" xml:space="preserve">  Financials!BK$24</f>
        <v>48718748.20811677</v>
      </c>
      <c r="BL15" s="4">
        <f ca="1" xml:space="preserve">  Financials!BL$24</f>
        <v>52313669.315271452</v>
      </c>
      <c r="BM15" s="4">
        <f ca="1" xml:space="preserve">  Financials!BM$24</f>
        <v>56088411.247575268</v>
      </c>
      <c r="BN15" s="4">
        <f ca="1" xml:space="preserve">  Financials!BN$24</f>
        <v>60090132.693377003</v>
      </c>
      <c r="BO15" s="4">
        <f ca="1" xml:space="preserve">  Financials!BO$24</f>
        <v>64339518.616571978</v>
      </c>
      <c r="BP15" s="4">
        <f ca="1" xml:space="preserve">  Financials!BP$24</f>
        <v>68833120.855136275</v>
      </c>
      <c r="BQ15" s="4">
        <f ca="1" xml:space="preserve">  Financials!BQ$24</f>
        <v>73584272.536620468</v>
      </c>
    </row>
    <row r="16" spans="1:69" outlineLevel="2">
      <c r="A16" s="18"/>
      <c r="B16" s="18"/>
      <c r="C16" s="28"/>
      <c r="D16" s="27"/>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-34108.333333333336</v>
      </c>
      <c r="K16" s="4">
        <f ca="1" xml:space="preserve">  Financials!K$30</f>
        <v>-63508.333333333336</v>
      </c>
      <c r="L16" s="4">
        <f ca="1" xml:space="preserve">  Financials!L$30</f>
        <v>-67716.666666666672</v>
      </c>
      <c r="M16" s="4">
        <f ca="1" xml:space="preserve">  Financials!M$30</f>
        <v>-63152.197887977491</v>
      </c>
      <c r="N16" s="4">
        <f ca="1" xml:space="preserve">  Financials!N$30</f>
        <v>-77387.810127806821</v>
      </c>
      <c r="O16" s="4">
        <f ca="1" xml:space="preserve">  Financials!O$30</f>
        <v>-98792.111121494177</v>
      </c>
      <c r="P16" s="4">
        <f ca="1" xml:space="preserve">  Financials!P$30</f>
        <v>-61294.373335464028</v>
      </c>
      <c r="Q16" s="4">
        <f ca="1" xml:space="preserve">  Financials!Q$30</f>
        <v>-38745.971045408362</v>
      </c>
      <c r="R16" s="4">
        <f ca="1" xml:space="preserve">  Financials!R$30</f>
        <v>21028.766187944522</v>
      </c>
      <c r="S16" s="4">
        <f ca="1" xml:space="preserve">  Financials!S$30</f>
        <v>50305.385414222823</v>
      </c>
      <c r="T16" s="4">
        <f ca="1" xml:space="preserve">  Financials!T$30</f>
        <v>174966.99382831081</v>
      </c>
      <c r="U16" s="4">
        <f ca="1" xml:space="preserve">  Financials!U$30</f>
        <v>286225.74465849414</v>
      </c>
      <c r="V16" s="4">
        <f ca="1" xml:space="preserve">  Financials!V$30</f>
        <v>471537.96189085185</v>
      </c>
      <c r="W16" s="4">
        <f ca="1" xml:space="preserve">  Financials!W$30</f>
        <v>722202.58631600952</v>
      </c>
      <c r="X16" s="4">
        <f ca="1" xml:space="preserve">  Financials!X$30</f>
        <v>979206.94923298375</v>
      </c>
      <c r="Y16" s="4">
        <f ca="1" xml:space="preserve">  Financials!Y$30</f>
        <v>1322473.5373997237</v>
      </c>
      <c r="Z16" s="4">
        <f ca="1" xml:space="preserve">  Financials!Z$30</f>
        <v>1670881.7757909633</v>
      </c>
      <c r="AA16" s="4">
        <f ca="1" xml:space="preserve">  Financials!AA$30</f>
        <v>2013311.1236748483</v>
      </c>
      <c r="AB16" s="4">
        <f ca="1" xml:space="preserve">  Financials!AB$30</f>
        <v>2356575.6442897408</v>
      </c>
      <c r="AC16" s="4">
        <f ca="1" xml:space="preserve">  Financials!AC$30</f>
        <v>2693233.2632125793</v>
      </c>
      <c r="AD16" s="4">
        <f ca="1" xml:space="preserve">  Financials!AD$30</f>
        <v>3015670.8445506133</v>
      </c>
      <c r="AE16" s="4">
        <f ca="1" xml:space="preserve">  Financials!AE$30</f>
        <v>3330762.3000382911</v>
      </c>
      <c r="AF16" s="4">
        <f ca="1" xml:space="preserve">  Financials!AF$30</f>
        <v>3678703.9422080233</v>
      </c>
      <c r="AG16" s="4">
        <f ca="1" xml:space="preserve">  Financials!AG$30</f>
        <v>4058717.1314063538</v>
      </c>
      <c r="AH16" s="4">
        <f ca="1" xml:space="preserve">  Financials!AH$30</f>
        <v>4441740.7087195702</v>
      </c>
      <c r="AI16" s="4">
        <f ca="1" xml:space="preserve">  Financials!AI$30</f>
        <v>4897706.6462319326</v>
      </c>
      <c r="AJ16" s="4">
        <f ca="1" xml:space="preserve">  Financials!AJ$30</f>
        <v>5417579.9262126014</v>
      </c>
      <c r="AK16" s="4">
        <f ca="1" xml:space="preserve">  Financials!AK$30</f>
        <v>5968590.7284352537</v>
      </c>
      <c r="AL16" s="4">
        <f ca="1" xml:space="preserve">  Financials!AL$30</f>
        <v>6553811.6036057789</v>
      </c>
      <c r="AM16" s="4">
        <f ca="1" xml:space="preserve">  Financials!AM$30</f>
        <v>7189120.7612694446</v>
      </c>
      <c r="AN16" s="4">
        <f ca="1" xml:space="preserve">  Financials!AN$30</f>
        <v>7880166.6209245846</v>
      </c>
      <c r="AO16" s="4">
        <f ca="1" xml:space="preserve">  Financials!AO$30</f>
        <v>8572922.8205908481</v>
      </c>
      <c r="AP16" s="4">
        <f ca="1" xml:space="preserve">  Financials!AP$30</f>
        <v>9346642.4158412665</v>
      </c>
      <c r="AQ16" s="4">
        <f ca="1" xml:space="preserve">  Financials!AQ$30</f>
        <v>10148752.013053076</v>
      </c>
      <c r="AR16" s="4">
        <f ca="1" xml:space="preserve">  Financials!AR$30</f>
        <v>11013083.18333167</v>
      </c>
      <c r="AS16" s="4">
        <f ca="1" xml:space="preserve">  Financials!AS$30</f>
        <v>11953480.889049191</v>
      </c>
      <c r="AT16" s="4">
        <f ca="1" xml:space="preserve">  Financials!AT$30</f>
        <v>12954835.608917173</v>
      </c>
      <c r="AU16" s="4">
        <f ca="1" xml:space="preserve">  Financials!AU$30</f>
        <v>14048064.177234029</v>
      </c>
      <c r="AV16" s="4">
        <f ca="1" xml:space="preserve">  Financials!AV$30</f>
        <v>15243937.148096446</v>
      </c>
      <c r="AW16" s="4">
        <f ca="1" xml:space="preserve">  Financials!AW$30</f>
        <v>16522668.498186078</v>
      </c>
      <c r="AX16" s="4">
        <f ca="1" xml:space="preserve">  Financials!AX$30</f>
        <v>17943728.43360287</v>
      </c>
      <c r="AY16" s="4">
        <f ca="1" xml:space="preserve">  Financials!AY$30</f>
        <v>19440002.861494482</v>
      </c>
      <c r="AZ16" s="4">
        <f ca="1" xml:space="preserve">  Financials!AZ$30</f>
        <v>21046208.327498429</v>
      </c>
      <c r="BA16" s="4">
        <f ca="1" xml:space="preserve">  Financials!BA$30</f>
        <v>22821037.150855947</v>
      </c>
      <c r="BB16" s="4">
        <f ca="1" xml:space="preserve">  Financials!BB$30</f>
        <v>24696521.000958964</v>
      </c>
      <c r="BC16" s="4">
        <f ca="1" xml:space="preserve">  Financials!BC$30</f>
        <v>26721023.103738304</v>
      </c>
      <c r="BD16" s="4">
        <f ca="1" xml:space="preserve">  Financials!BD$30</f>
        <v>28875141.525217637</v>
      </c>
      <c r="BE16" s="4">
        <f ca="1" xml:space="preserve">  Financials!BE$30</f>
        <v>31207766.70787999</v>
      </c>
      <c r="BF16" s="4">
        <f ca="1" xml:space="preserve">  Financials!BF$30</f>
        <v>33694975.679050267</v>
      </c>
      <c r="BG16" s="4">
        <f ca="1" xml:space="preserve">  Financials!BG$30</f>
        <v>36332107.558322944</v>
      </c>
      <c r="BH16" s="4">
        <f ca="1" xml:space="preserve">  Financials!BH$30</f>
        <v>39159552.29925786</v>
      </c>
      <c r="BI16" s="4">
        <f ca="1" xml:space="preserve">  Financials!BI$30</f>
        <v>42153383.773994625</v>
      </c>
      <c r="BJ16" s="4">
        <f ca="1" xml:space="preserve">  Financials!BJ$30</f>
        <v>45344353.921282917</v>
      </c>
      <c r="BK16" s="4">
        <f ca="1" xml:space="preserve">  Financials!BK$30</f>
        <v>48718748.208116777</v>
      </c>
      <c r="BL16" s="4">
        <f ca="1" xml:space="preserve">  Financials!BL$30</f>
        <v>52313669.315271474</v>
      </c>
      <c r="BM16" s="4">
        <f ca="1" xml:space="preserve">  Financials!BM$30</f>
        <v>56088411.247575298</v>
      </c>
      <c r="BN16" s="4">
        <f ca="1" xml:space="preserve">  Financials!BN$30</f>
        <v>60090132.693377018</v>
      </c>
      <c r="BO16" s="4">
        <f ca="1" xml:space="preserve">  Financials!BO$30</f>
        <v>64339518.616572008</v>
      </c>
      <c r="BP16" s="4">
        <f ca="1" xml:space="preserve">  Financials!BP$30</f>
        <v>68833120.85513629</v>
      </c>
      <c r="BQ16" s="4">
        <f ca="1" xml:space="preserve">  Financials!BQ$30</f>
        <v>73584272.536620528</v>
      </c>
    </row>
    <row r="17" spans="2:69" outlineLevel="2">
      <c r="E17" s="47" t="s">
        <v>306</v>
      </c>
      <c r="G17" s="47"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5" t="s">
        <v>85</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7" t="s">
        <v>85</v>
      </c>
      <c r="F22" s="2">
        <f ca="1" xml:space="preserve">  IF( MAX( $J21:$BQ21 ) &gt; 0, 1, 0 )</f>
        <v>0</v>
      </c>
      <c r="M22" s="2"/>
    </row>
    <row r="23" spans="2:69" outlineLevel="1"/>
    <row r="26" spans="2:69">
      <c r="B26" s="25" t="s">
        <v>271</v>
      </c>
    </row>
  </sheetData>
  <conditionalFormatting sqref="J3:BQ3">
    <cfRule type="cellIs" dxfId="194" priority="11" stopIfTrue="1" operator="equal">
      <formula>"Construction"</formula>
    </cfRule>
    <cfRule type="cellIs" dxfId="193" priority="12" stopIfTrue="1" operator="equal">
      <formula>"Operations"</formula>
    </cfRule>
  </conditionalFormatting>
  <conditionalFormatting sqref="J3:BQ3">
    <cfRule type="cellIs" dxfId="192" priority="10" operator="equal">
      <formula>"Fin Close"</formula>
    </cfRule>
  </conditionalFormatting>
  <conditionalFormatting sqref="J3:BQ3">
    <cfRule type="cellIs" dxfId="191" priority="8" operator="equal">
      <formula>"PPA ext."</formula>
    </cfRule>
    <cfRule type="cellIs" dxfId="190" priority="9" operator="equal">
      <formula>"Delay"</formula>
    </cfRule>
  </conditionalFormatting>
  <conditionalFormatting sqref="F2:F3 F10">
    <cfRule type="cellIs" dxfId="189" priority="1" stopIfTrue="1" operator="notEqual">
      <formula>0</formula>
    </cfRule>
    <cfRule type="cellIs" dxfId="188" priority="2" stopIfTrue="1" operator="equal">
      <formula>""</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F81BD"/>
    <outlinePr summaryBelow="0" summaryRight="0"/>
  </sheetPr>
  <dimension ref="A1:P22"/>
  <sheetViews>
    <sheetView showGridLines="0" tabSelected="1"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1" width="12.44140625" bestFit="1" customWidth="1"/>
    <col min="12" max="13" width="13.21875" bestFit="1" customWidth="1"/>
    <col min="14" max="14" width="13.886718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Income Statement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Time!$J297:$BQ297, Time!J$28, Income!$J18:$BQ18)</f>
        <v>1692000</v>
      </c>
      <c r="K8" s="10">
        <f ca="1" xml:space="preserve"> SUMIF( Time!$J297:$BQ297, Time!K$28, Income!$J18:$BQ18)</f>
        <v>7933835.7211218411</v>
      </c>
      <c r="L8" s="10">
        <f ca="1" xml:space="preserve"> SUMIF( Time!$J297:$BQ297, Time!L$28, Income!$J18:$BQ18)</f>
        <v>16080000</v>
      </c>
      <c r="M8" s="10">
        <f ca="1" xml:space="preserve"> SUMIF( Time!$J297:$BQ297, Time!M$28, Income!$J18:$BQ18)</f>
        <v>36489292.641871966</v>
      </c>
      <c r="N8" s="10">
        <f ca="1" xml:space="preserve"> SUMIF( Time!$J297:$BQ297, Time!N$28, Income!$J18:$BQ18)</f>
        <v>78018234.587267786</v>
      </c>
    </row>
    <row r="9" spans="1:16">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Time!$J297:$BQ297, Time!J$28, Expense!$J27:$BQ27)</f>
        <v>-547200</v>
      </c>
      <c r="K9" s="10">
        <f ca="1" xml:space="preserve"> SUMIF( Time!$J297:$BQ297, Time!K$28, Expense!$J27:$BQ27)</f>
        <v>-1282835.0696476153</v>
      </c>
      <c r="L9" s="10">
        <f ca="1" xml:space="preserve"> SUMIF( Time!$J297:$BQ297, Time!L$28, Expense!$J27:$BQ27)</f>
        <v>-3058150.1392952316</v>
      </c>
      <c r="M9" s="10">
        <f ca="1" xml:space="preserve"> SUMIF( Time!$J297:$BQ297, Time!M$28, Expense!$J27:$BQ27)</f>
        <v>-6285891.8412733199</v>
      </c>
      <c r="N9" s="10">
        <f ca="1" xml:space="preserve"> SUMIF( Time!$J297:$BQ297, Time!N$28, Expense!$J27:$BQ27)</f>
        <v>-12571783.682546647</v>
      </c>
    </row>
    <row r="10" spans="1:16">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Time!$J297:$BQ297, Time!J$28, Expense!$J20:$BQ20)</f>
        <v>-560015.74181995587</v>
      </c>
      <c r="K10" s="10">
        <f xml:space="preserve"> SUMIF( Time!$J297:$BQ297, Time!K$28, Expense!$J20:$BQ20)</f>
        <v>-616059.48877873819</v>
      </c>
      <c r="L10" s="10">
        <f xml:space="preserve"> SUMIF( Time!$J297:$BQ297, Time!L$28, Expense!$J20:$BQ20)</f>
        <v>-677665.77380683355</v>
      </c>
      <c r="M10" s="10">
        <f xml:space="preserve"> SUMIF( Time!$J297:$BQ297, Time!M$28, Expense!$J20:$BQ20)</f>
        <v>-745420.29249841766</v>
      </c>
      <c r="N10" s="10">
        <f xml:space="preserve"> SUMIF( Time!$J297:$BQ297, Time!N$28, Expense!$J20:$BQ20)</f>
        <v>-819910.1978034121</v>
      </c>
    </row>
    <row r="11" spans="1:16">
      <c r="E11" s="12" t="s">
        <v>179</v>
      </c>
      <c r="F11" s="30"/>
      <c r="G11" s="12" t="s">
        <v>258</v>
      </c>
      <c r="H11" s="56">
        <f ca="1" xml:space="preserve"> SUM( J11:BQ11 )</f>
        <v>113048430.72279143</v>
      </c>
      <c r="I11" s="30"/>
      <c r="J11" s="12">
        <f ca="1" xml:space="preserve"> SUMIF( Time!$J297:$BQ297, Time!J$28, 'Income Statement'!$J11:$BQ11)</f>
        <v>584784.25818004413</v>
      </c>
      <c r="K11" s="12">
        <f ca="1" xml:space="preserve"> SUMIF( Time!$J297:$BQ297, Time!K$28, 'Income Statement'!$J11:$BQ11)</f>
        <v>6034941.1626954861</v>
      </c>
      <c r="L11" s="12">
        <f ca="1" xml:space="preserve"> SUMIF( Time!$J297:$BQ297, Time!L$28, 'Income Statement'!$J11:$BQ11)</f>
        <v>12344184.086897936</v>
      </c>
      <c r="M11" s="12">
        <f ca="1" xml:space="preserve"> SUMIF( Time!$J297:$BQ297, Time!M$28, 'Income Statement'!$J11:$BQ11)</f>
        <v>29457980.508100234</v>
      </c>
      <c r="N11" s="12">
        <f ca="1" xml:space="preserve"> SUMIF( Time!$J297:$BQ297, Time!N$28, 'Income Statement'!$J11:$BQ11)</f>
        <v>64626540.706917733</v>
      </c>
    </row>
    <row r="13" spans="1:16">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Time!$J297:$BQ297, Time!J$28, Assets!$J14:$BQ14)</f>
        <v>-80208.333333333343</v>
      </c>
      <c r="K13" s="10">
        <f ca="1" xml:space="preserve"> SUMIF( Time!$J297:$BQ297, Time!K$28, Assets!$J14:$BQ14)</f>
        <v>-787500</v>
      </c>
      <c r="L13" s="10">
        <f ca="1" xml:space="preserve"> SUMIF( Time!$J297:$BQ297, Time!L$28, Assets!$J14:$BQ14)</f>
        <v>-1768958.3333333335</v>
      </c>
      <c r="M13" s="10">
        <f ca="1" xml:space="preserve"> SUMIF( Time!$J297:$BQ297, Time!M$28, Assets!$J14:$BQ14)</f>
        <v>-4250837.7268411145</v>
      </c>
      <c r="N13" s="10">
        <f ca="1" xml:space="preserve"> SUMIF( Time!$J297:$BQ297, Time!N$28, Assets!$J14:$BQ14)</f>
        <v>-9287966.1676521376</v>
      </c>
    </row>
    <row r="14" spans="1:16">
      <c r="E14" s="12" t="s">
        <v>63</v>
      </c>
      <c r="F14" s="30"/>
      <c r="G14" s="12" t="s">
        <v>258</v>
      </c>
      <c r="H14" s="56">
        <f ca="1" xml:space="preserve"> SUM( J14:BQ14 )</f>
        <v>96872960.16163151</v>
      </c>
      <c r="I14" s="30"/>
      <c r="J14" s="12">
        <f ca="1" xml:space="preserve"> SUMIF( Time!$J297:$BQ297, Time!J$28, 'Income Statement'!$J14:$BQ14)</f>
        <v>504575.92484671075</v>
      </c>
      <c r="K14" s="12">
        <f ca="1" xml:space="preserve"> SUMIF( Time!$J297:$BQ297, Time!K$28, 'Income Statement'!$J14:$BQ14)</f>
        <v>5247441.162695488</v>
      </c>
      <c r="L14" s="12">
        <f ca="1" xml:space="preserve"> SUMIF( Time!$J297:$BQ297, Time!L$28, 'Income Statement'!$J14:$BQ14)</f>
        <v>10575225.753564602</v>
      </c>
      <c r="M14" s="12">
        <f ca="1" xml:space="preserve"> SUMIF( Time!$J297:$BQ297, Time!M$28, 'Income Statement'!$J14:$BQ14)</f>
        <v>25207142.781259112</v>
      </c>
      <c r="N14" s="12">
        <f ca="1" xml:space="preserve"> SUMIF( Time!$J297:$BQ297, Time!N$28, 'Income Statement'!$J14:$BQ14)</f>
        <v>55338574.539265595</v>
      </c>
    </row>
    <row r="16" spans="1:16">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Time!$J297:$BQ297, Time!J$28, 'Supply Chain finance'!$J42:$BQ42)</f>
        <v>-48533.333333333336</v>
      </c>
      <c r="K16" s="10">
        <f ca="1" xml:space="preserve"> SUMIF( Time!$J297:$BQ297, Time!K$28, 'Supply Chain finance'!$J42:$BQ42)</f>
        <v>-49466.666666666664</v>
      </c>
      <c r="L16" s="10">
        <f ca="1" xml:space="preserve"> SUMIF( Time!$J297:$BQ297, Time!L$28, 'Supply Chain finance'!$J42:$BQ42)</f>
        <v>-64400</v>
      </c>
      <c r="M16" s="10">
        <f ca="1" xml:space="preserve"> SUMIF( Time!$J297:$BQ297, Time!M$28, 'Supply Chain finance'!$J42:$BQ42)</f>
        <v>0</v>
      </c>
      <c r="N16" s="10">
        <f ca="1" xml:space="preserve"> SUMIF( Time!$J297:$BQ297, Time!N$28, 'Supply Chain finance'!$J42:$BQ42)</f>
        <v>0</v>
      </c>
    </row>
    <row r="17" spans="5:14">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Time!$J297:$BQ297, Time!J$28, 'Invoice finance'!$J41:$BQ41)</f>
        <v>-17685</v>
      </c>
      <c r="K17" s="10">
        <f ca="1" xml:space="preserve"> SUMIF( Time!$J297:$BQ297, Time!K$28, 'Invoice finance'!$J41:$BQ41)</f>
        <v>-108657.53581682761</v>
      </c>
      <c r="L17" s="10">
        <f ca="1" xml:space="preserve"> SUMIF( Time!$J297:$BQ297, Time!L$28, 'Invoice finance'!$J41:$BQ41)</f>
        <v>-45135</v>
      </c>
      <c r="M17" s="10">
        <f ca="1" xml:space="preserve"> SUMIF( Time!$J297:$BQ297, Time!M$28, 'Invoice finance'!$J41:$BQ41)</f>
        <v>0</v>
      </c>
      <c r="N17" s="10">
        <f ca="1" xml:space="preserve"> SUMIF( Time!$J297:$BQ297, Time!N$28, 'Invoice finance'!$J41:$BQ41)</f>
        <v>0</v>
      </c>
    </row>
    <row r="18" spans="5:14">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Time!$J297:$BQ297, Time!J$28, 'Asset Finance'!$J42:$BQ42)</f>
        <v>-26894.99521887441</v>
      </c>
      <c r="K18" s="10">
        <f ca="1" xml:space="preserve"> SUMIF( Time!$J297:$BQ297, Time!K$28, 'Asset Finance'!$J42:$BQ42)</f>
        <v>-109837.34092503627</v>
      </c>
      <c r="L18" s="10">
        <f ca="1" xml:space="preserve"> SUMIF( Time!$J297:$BQ297, Time!L$28, 'Asset Finance'!$J42:$BQ42)</f>
        <v>-102090.17854218044</v>
      </c>
      <c r="M18" s="10">
        <f ca="1" xml:space="preserve"> SUMIF( Time!$J297:$BQ297, Time!M$28, 'Asset Finance'!$J42:$BQ42)</f>
        <v>-61260.860808266239</v>
      </c>
      <c r="N18" s="10">
        <f ca="1" xml:space="preserve"> SUMIF( Time!$J297:$BQ297, Time!N$28, 'Asset Finance'!$J42:$BQ42)</f>
        <v>-36760.569141518274</v>
      </c>
    </row>
    <row r="19" spans="5:14">
      <c r="E19" s="12" t="s">
        <v>180</v>
      </c>
      <c r="F19" s="30"/>
      <c r="G19" s="12" t="s">
        <v>258</v>
      </c>
      <c r="H19" s="56">
        <f ca="1" xml:space="preserve"> SUM( J19:BQ19 )</f>
        <v>96202238.681178808</v>
      </c>
      <c r="I19" s="30"/>
      <c r="J19" s="12">
        <f ca="1" xml:space="preserve"> SUMIF( Time!$J297:$BQ297, Time!J$28, 'Income Statement'!$J19:$BQ19)</f>
        <v>411462.59629450296</v>
      </c>
      <c r="K19" s="12">
        <f ca="1" xml:space="preserve"> SUMIF( Time!$J297:$BQ297, Time!K$28, 'Income Statement'!$J19:$BQ19)</f>
        <v>4979479.6192869572</v>
      </c>
      <c r="L19" s="12">
        <f ca="1" xml:space="preserve"> SUMIF( Time!$J297:$BQ297, Time!L$28, 'Income Statement'!$J19:$BQ19)</f>
        <v>10363600.575022422</v>
      </c>
      <c r="M19" s="12">
        <f ca="1" xml:space="preserve"> SUMIF( Time!$J297:$BQ297, Time!M$28, 'Income Statement'!$J19:$BQ19)</f>
        <v>25145881.920450848</v>
      </c>
      <c r="N19" s="12">
        <f ca="1" xml:space="preserve"> SUMIF( Time!$J297:$BQ297, Time!N$28, 'Income Statement'!$J19:$BQ19)</f>
        <v>55301813.970124073</v>
      </c>
    </row>
    <row r="21" spans="5:14">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Time!$J297:$BQ297, Time!J$28, 'Corporation tax'!$J48:$BQ48)</f>
        <v>-125236.85163600883</v>
      </c>
      <c r="K21" s="10">
        <f ca="1" xml:space="preserve"> SUMIF( Time!$J297:$BQ297, Time!K$28, 'Corporation tax'!$J48:$BQ48)</f>
        <v>-1206988.2325390975</v>
      </c>
      <c r="L21" s="10">
        <f ca="1" xml:space="preserve"> SUMIF( Time!$J297:$BQ297, Time!L$28, 'Corporation tax'!$J48:$BQ48)</f>
        <v>-2468836.8173795873</v>
      </c>
      <c r="M21" s="10">
        <f ca="1" xml:space="preserve"> SUMIF( Time!$J297:$BQ297, Time!M$28, 'Corporation tax'!$J48:$BQ48)</f>
        <v>-5891596.1016200464</v>
      </c>
      <c r="N21" s="10">
        <f ca="1" xml:space="preserve"> SUMIF( Time!$J297:$BQ297, Time!N$28, 'Corporation tax'!$J48:$BQ48)</f>
        <v>-12925308.141383547</v>
      </c>
    </row>
    <row r="22" spans="5:14">
      <c r="E22" s="12" t="s">
        <v>37</v>
      </c>
      <c r="F22" s="30"/>
      <c r="G22" s="12" t="s">
        <v>258</v>
      </c>
      <c r="H22" s="56">
        <f ca="1" xml:space="preserve"> SUM( J22:BQ22 )</f>
        <v>73584272.536620513</v>
      </c>
      <c r="I22" s="30"/>
      <c r="J22" s="12">
        <f ca="1" xml:space="preserve"> SUMIF( Time!$J297:$BQ297, Time!J$28, 'Income Statement'!$J22:$BQ22)</f>
        <v>286225.74465849414</v>
      </c>
      <c r="K22" s="12">
        <f ca="1" xml:space="preserve"> SUMIF( Time!$J297:$BQ297, Time!K$28, 'Income Statement'!$J22:$BQ22)</f>
        <v>3772491.3867478594</v>
      </c>
      <c r="L22" s="12">
        <f ca="1" xml:space="preserve"> SUMIF( Time!$J297:$BQ297, Time!L$28, 'Income Statement'!$J22:$BQ22)</f>
        <v>7894763.7576428335</v>
      </c>
      <c r="M22" s="12">
        <f ca="1" xml:space="preserve"> SUMIF( Time!$J297:$BQ297, Time!M$28, 'Income Statement'!$J22:$BQ22)</f>
        <v>19254285.818830803</v>
      </c>
      <c r="N22" s="12">
        <f ca="1" xml:space="preserve"> SUMIF( Time!$J297:$BQ297, Time!N$28, 'Income Statement'!$J22:$BQ22)</f>
        <v>42376505.828740522</v>
      </c>
    </row>
  </sheetData>
  <conditionalFormatting sqref="F3">
    <cfRule type="cellIs" dxfId="187" priority="8" stopIfTrue="1" operator="notEqual">
      <formula>0</formula>
    </cfRule>
    <cfRule type="cellIs" dxfId="186" priority="9" stopIfTrue="1" operator="equal">
      <formula>""</formula>
    </cfRule>
  </conditionalFormatting>
  <conditionalFormatting sqref="J3:P3">
    <cfRule type="cellIs" dxfId="185" priority="6" stopIfTrue="1" operator="equal">
      <formula>"Construction"</formula>
    </cfRule>
    <cfRule type="cellIs" dxfId="184" priority="7" stopIfTrue="1" operator="equal">
      <formula>"Operations"</formula>
    </cfRule>
  </conditionalFormatting>
  <conditionalFormatting sqref="J3:P3">
    <cfRule type="cellIs" dxfId="183" priority="5" operator="equal">
      <formula>"Fin Close"</formula>
    </cfRule>
  </conditionalFormatting>
  <conditionalFormatting sqref="J3:P3">
    <cfRule type="cellIs" dxfId="182" priority="3" operator="equal">
      <formula>"PPA ext."</formula>
    </cfRule>
    <cfRule type="cellIs" dxfId="181" priority="4" operator="equal">
      <formula>"Delay"</formula>
    </cfRule>
  </conditionalFormatting>
  <conditionalFormatting sqref="F2">
    <cfRule type="cellIs" dxfId="180" priority="1" stopIfTrue="1" operator="notEqual">
      <formula>0</formula>
    </cfRule>
    <cfRule type="cellIs" dxfId="179"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16" sqref="J16:J18"/>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77734375" bestFit="1" customWidth="1"/>
    <col min="11" max="13" width="13.21875" bestFit="1" customWidth="1"/>
    <col min="14" max="14" width="14.44140625" bestFit="1" customWidth="1"/>
    <col min="15" max="16" width="15.109375" customWidth="1"/>
  </cols>
  <sheetData>
    <row r="1" spans="1:16" s="73" customFormat="1" ht="25">
      <c r="A1" s="46" t="str">
        <f ca="1" xml:space="preserve"> RIGHT(CELL("filename", A1), LEN(CELL("filename", A1)) - SEARCH("]", CELL("filename", A1)))</f>
        <v>Balance Sheet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Time!$J302:$BQ302, Time!J$28, Assets!$J23:$BQ23)</f>
        <v>1750000</v>
      </c>
      <c r="K8" s="10">
        <f ca="1" xml:space="preserve"> SUMIF( Time!$J302:$BQ302, Time!K$28, Assets!$J23:$BQ23)</f>
        <v>4200000</v>
      </c>
      <c r="L8" s="10">
        <f ca="1" xml:space="preserve"> SUMIF( Time!$J302:$BQ302, Time!L$28, Assets!$J23:$BQ23)</f>
        <v>10220000</v>
      </c>
      <c r="M8" s="10">
        <f ca="1" xml:space="preserve"> SUMIF( Time!$J302:$BQ302, Time!M$28, Assets!$J23:$BQ23)</f>
        <v>22501998.094606489</v>
      </c>
      <c r="N8" s="10">
        <f ca="1" xml:space="preserve"> SUMIF( Time!$J302:$BQ302, Time!N$28, Assets!$J23:$BQ23)</f>
        <v>45518994.283819467</v>
      </c>
    </row>
    <row r="9" spans="1:16">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Time!$J302:$BQ302, Time!J$28, Assets!$J32:$BQ32)</f>
        <v>-80208.333333333343</v>
      </c>
      <c r="K9" s="10">
        <f ca="1" xml:space="preserve"> SUMIF( Time!$J302:$BQ302, Time!K$28, Assets!$J32:$BQ32)</f>
        <v>-867708.33333333337</v>
      </c>
      <c r="L9" s="10">
        <f ca="1" xml:space="preserve"> SUMIF( Time!$J302:$BQ302, Time!L$28, Assets!$J32:$BQ32)</f>
        <v>-1306666.6666666665</v>
      </c>
      <c r="M9" s="10">
        <f ca="1" xml:space="preserve"> SUMIF( Time!$J302:$BQ302, Time!M$28, Assets!$J32:$BQ32)</f>
        <v>-2439502.4881142713</v>
      </c>
      <c r="N9" s="10">
        <f ca="1" xml:space="preserve"> SUMIF( Time!$J302:$BQ302, Time!N$28, Assets!$J32:$BQ32)</f>
        <v>-4294464.8449793877</v>
      </c>
    </row>
    <row r="10" spans="1:16">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Time!$J302:$BQ302, Time!J$28, 'Working Capital'!$J45:$BQ45)</f>
        <v>1728000</v>
      </c>
      <c r="K10" s="10">
        <f ca="1" xml:space="preserve"> SUMIF( Time!$J302:$BQ302, Time!K$28, 'Working Capital'!$J45:$BQ45)</f>
        <v>3456000.0000000005</v>
      </c>
      <c r="L10" s="10">
        <f ca="1" xml:space="preserve"> SUMIF( Time!$J302:$BQ302, Time!L$28, 'Working Capital'!$J45:$BQ45)</f>
        <v>6912000</v>
      </c>
      <c r="M10" s="10">
        <f ca="1" xml:space="preserve"> SUMIF( Time!$J302:$BQ302, Time!M$28, 'Working Capital'!$J45:$BQ45)</f>
        <v>16416000</v>
      </c>
      <c r="N10" s="10">
        <f ca="1" xml:space="preserve"> SUMIF( Time!$J302:$BQ302, Time!N$28, 'Working Capital'!$J45:$BQ45)</f>
        <v>32832000</v>
      </c>
    </row>
    <row r="11" spans="1:16">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Time!$J302:$BQ302, Time!J$28, Financials!$J13:$BQ13)</f>
        <v>1957540.9211432522</v>
      </c>
      <c r="K11" s="10">
        <f ca="1" xml:space="preserve"> SUMIF( Time!$J302:$BQ302, Time!K$28, Financials!$J13:$BQ13)</f>
        <v>8329011.129965825</v>
      </c>
      <c r="L11" s="10">
        <f ca="1" xml:space="preserve"> SUMIF( Time!$J302:$BQ302, Time!L$28, Financials!$J13:$BQ13)</f>
        <v>15289313.001587993</v>
      </c>
      <c r="M11" s="10">
        <f ca="1" xml:space="preserve"> SUMIF( Time!$J302:$BQ302, Time!M$28, Financials!$J13:$BQ13)</f>
        <v>45603976.907935813</v>
      </c>
      <c r="N11" s="10">
        <f ca="1" xml:space="preserve"> SUMIF( Time!$J302:$BQ302, Time!N$28, Financials!$J13:$BQ13)</f>
        <v>114153158.88072786</v>
      </c>
    </row>
    <row r="12" spans="1:16">
      <c r="E12" s="12" t="s">
        <v>86</v>
      </c>
      <c r="F12" s="30"/>
      <c r="G12" s="12" t="s">
        <v>258</v>
      </c>
      <c r="H12" s="56"/>
      <c r="I12" s="30"/>
      <c r="J12" s="12">
        <f ca="1" xml:space="preserve"> SUMIF( Time!$J302:$BQ302, Time!J$28, 'Balance Sheet'!$J12:$BQ12)</f>
        <v>5355332.5878099194</v>
      </c>
      <c r="K12" s="12">
        <f ca="1" xml:space="preserve"> SUMIF( Time!$J302:$BQ302, Time!K$28, 'Balance Sheet'!$J12:$BQ12)</f>
        <v>15117302.796632491</v>
      </c>
      <c r="L12" s="12">
        <f ca="1" xml:space="preserve"> SUMIF( Time!$J302:$BQ302, Time!L$28, 'Balance Sheet'!$J12:$BQ12)</f>
        <v>31114646.334921326</v>
      </c>
      <c r="M12" s="12">
        <f ca="1" xml:space="preserve"> SUMIF( Time!$J302:$BQ302, Time!M$28, 'Balance Sheet'!$J12:$BQ12)</f>
        <v>82082472.514428034</v>
      </c>
      <c r="N12" s="12">
        <f ca="1" xml:space="preserve"> SUMIF( Time!$J302:$BQ302, Time!N$28, 'Balance Sheet'!$J12:$BQ12)</f>
        <v>188209688.31956792</v>
      </c>
    </row>
    <row r="14" spans="1:16">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Time!$J302:$BQ302, Time!J$28, Income!$J27:$BQ27)</f>
        <v>2052000</v>
      </c>
      <c r="K14" s="10">
        <f ca="1" xml:space="preserve"> SUMIF( Time!$J302:$BQ302, Time!K$28, Income!$J27:$BQ27)</f>
        <v>3622164.2788781589</v>
      </c>
      <c r="L14" s="10">
        <f ca="1" xml:space="preserve"> SUMIF( Time!$J302:$BQ302, Time!L$28, Income!$J27:$BQ27)</f>
        <v>11302164.27887816</v>
      </c>
      <c r="M14" s="10">
        <f ca="1" xml:space="preserve"> SUMIF( Time!$J302:$BQ302, Time!M$28, Income!$J27:$BQ27)</f>
        <v>35292871.637006193</v>
      </c>
      <c r="N14" s="10">
        <f ca="1" xml:space="preserve"> SUMIF( Time!$J302:$BQ302, Time!N$28, Income!$J27:$BQ27)</f>
        <v>83274637.049738422</v>
      </c>
    </row>
    <row r="15" spans="1:16">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Time!$J302:$BQ302, Time!J$28, 'Working Capital'!$J36:$BQ36)</f>
        <v>692999.9999999993</v>
      </c>
      <c r="K15" s="10">
        <f ca="1" xml:space="preserve"> SUMIF( Time!$J302:$BQ302, Time!K$28, 'Working Capital'!$J36:$BQ36)</f>
        <v>1868999.9999999995</v>
      </c>
      <c r="L15" s="10">
        <f ca="1" xml:space="preserve"> SUMIF( Time!$J302:$BQ302, Time!L$28, 'Working Capital'!$J36:$BQ36)</f>
        <v>4515000</v>
      </c>
      <c r="M15" s="10">
        <f ca="1" xml:space="preserve"> SUMIF( Time!$J302:$BQ302, Time!M$28, 'Working Capital'!$J36:$BQ36)</f>
        <v>9114000.0000000037</v>
      </c>
      <c r="N15" s="10">
        <f ca="1" xml:space="preserve"> SUMIF( Time!$J302:$BQ302, Time!N$28, 'Working Capital'!$J36:$BQ36)</f>
        <v>18438000.000000004</v>
      </c>
    </row>
    <row r="16" spans="1:16">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Time!$J302:$BQ302, Time!J$28, 'Supply Chain finance'!$J15:$BQ15)</f>
        <v>560000</v>
      </c>
      <c r="K16" s="10">
        <f ca="1" xml:space="preserve"> SUMIF( Time!$J302:$BQ302, Time!K$28, 'Supply Chain finance'!$J15:$BQ15)</f>
        <v>1540000</v>
      </c>
      <c r="L16" s="10">
        <f ca="1" xml:space="preserve"> SUMIF( Time!$J302:$BQ302, Time!L$28, 'Supply Chain finance'!$J15:$BQ15)</f>
        <v>0</v>
      </c>
      <c r="M16" s="10">
        <f ca="1" xml:space="preserve"> SUMIF( Time!$J302:$BQ302, Time!M$28, 'Supply Chain finance'!$J15:$BQ15)</f>
        <v>0</v>
      </c>
      <c r="N16" s="10">
        <f ca="1" xml:space="preserve"> SUMIF( Time!$J302:$BQ302, Time!N$28,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Time!$J302:$BQ302, Time!J$28, 'Invoice finance'!$J15:$BQ15)</f>
        <v>594000</v>
      </c>
      <c r="K17" s="10">
        <f ca="1" xml:space="preserve"> SUMIF( Time!$J302:$BQ302, Time!K$28, 'Invoice finance'!$J15:$BQ15)</f>
        <v>1404000</v>
      </c>
      <c r="L17" s="10">
        <f ca="1" xml:space="preserve"> SUMIF( Time!$J302:$BQ302, Time!L$28, 'Invoice finance'!$J15:$BQ15)</f>
        <v>0</v>
      </c>
      <c r="M17" s="10">
        <f ca="1" xml:space="preserve"> SUMIF( Time!$J302:$BQ302, Time!M$28, 'Invoice finance'!$J15:$BQ15)</f>
        <v>0</v>
      </c>
      <c r="N17" s="10">
        <f ca="1" xml:space="preserve"> SUMIF( Time!$J302:$BQ302, Time!N$28,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Time!$J302:$BQ302, Time!J$28, 'Asset Finance'!$J15:$BQ15)</f>
        <v>1056906.2798820352</v>
      </c>
      <c r="K18" s="10">
        <f ca="1" xml:space="preserve"> SUMIF( Time!$J302:$BQ302, Time!K$28, 'Asset Finance'!$J15:$BQ15)</f>
        <v>1595422.8991005584</v>
      </c>
      <c r="L18" s="10">
        <f ca="1" xml:space="preserve"> SUMIF( Time!$J302:$BQ302, Time!L$28, 'Asset Finance'!$J15:$BQ15)</f>
        <v>957359.28321193054</v>
      </c>
      <c r="M18" s="10">
        <f ca="1" xml:space="preserve"> SUMIF( Time!$J302:$BQ302, Time!M$28, 'Asset Finance'!$J15:$BQ15)</f>
        <v>574478.90316026658</v>
      </c>
      <c r="N18" s="10">
        <f ca="1" xml:space="preserve"> SUMIF( Time!$J302:$BQ302, Time!N$28,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Time!$J302:$BQ302, Time!J$28, VAT!$J32:$BQ32)</f>
        <v>-12036.288366619498</v>
      </c>
      <c r="K19" s="10">
        <f ca="1" xml:space="preserve"> SUMIF( Time!$J302:$BQ302, Time!K$28, VAT!$J32:$BQ32)</f>
        <v>54279.507330168621</v>
      </c>
      <c r="L19" s="10">
        <f ca="1" xml:space="preserve"> SUMIF( Time!$J302:$BQ302, Time!L$28, VAT!$J32:$BQ32)</f>
        <v>359867.61621458433</v>
      </c>
      <c r="M19" s="10">
        <f ca="1" xml:space="preserve"> SUMIF( Time!$J302:$BQ302, Time!M$28, VAT!$J32:$BQ32)</f>
        <v>1013002.4822518174</v>
      </c>
      <c r="N19" s="10">
        <f ca="1" xml:space="preserve"> SUMIF( Time!$J302:$BQ302, Time!N$28,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Time!$J302:$BQ302, Time!J$28, 'Corporation tax'!$J78:$BQ78)</f>
        <v>125236.85163600883</v>
      </c>
      <c r="K20" s="10">
        <f ca="1" xml:space="preserve"> SUMIF( Time!$J302:$BQ302, Time!K$28, 'Corporation tax'!$J78:$BQ78)</f>
        <v>973718.97991725383</v>
      </c>
      <c r="L20" s="10">
        <f ca="1" xml:space="preserve"> SUMIF( Time!$J302:$BQ302, Time!L$28, 'Corporation tax'!$J78:$BQ78)</f>
        <v>2026774.2675674651</v>
      </c>
      <c r="M20" s="10">
        <f ca="1" xml:space="preserve"> SUMIF( Time!$J302:$BQ302, Time!M$28, 'Corporation tax'!$J78:$BQ78)</f>
        <v>4880352.7841297751</v>
      </c>
      <c r="N20" s="10">
        <f ca="1" xml:space="preserve"> SUMIF( Time!$J302:$BQ302, Time!N$28, 'Corporation tax'!$J78:$BQ78)</f>
        <v>10501253.115687136</v>
      </c>
    </row>
    <row r="21" spans="5:16384">
      <c r="E21" s="12" t="s">
        <v>226</v>
      </c>
      <c r="F21" s="30"/>
      <c r="G21" s="12" t="s">
        <v>258</v>
      </c>
      <c r="H21" s="56"/>
      <c r="I21" s="30"/>
      <c r="J21" s="12">
        <f ca="1" xml:space="preserve"> SUMIF( Time!$J302:$BQ302, Time!J$28, 'Balance Sheet'!$J21:$BQ21)</f>
        <v>5069106.8431514241</v>
      </c>
      <c r="K21" s="12">
        <f ca="1" xml:space="preserve"> SUMIF( Time!$J302:$BQ302, Time!K$28, 'Balance Sheet'!$J21:$BQ21)</f>
        <v>11058585.665226139</v>
      </c>
      <c r="L21" s="12">
        <f ca="1" xml:space="preserve"> SUMIF( Time!$J302:$BQ302, Time!L$28, 'Balance Sheet'!$J21:$BQ21)</f>
        <v>19161165.445872135</v>
      </c>
      <c r="M21" s="12">
        <f ca="1" xml:space="preserve"> SUMIF( Time!$J302:$BQ302, Time!M$28, 'Balance Sheet'!$J21:$BQ21)</f>
        <v>50874705.806548052</v>
      </c>
      <c r="N21" s="12">
        <f ca="1" xml:space="preserve"> SUMIF( Time!$J302:$BQ302, Time!N$28,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Time!$J302:$BQ302, Time!J$28, Financials!$J24:$BQ24)</f>
        <v>286225.7446584953</v>
      </c>
      <c r="K23" s="19">
        <f ca="1" xml:space="preserve"> SUMIF( Time!$J302:$BQ302, Time!K$28, Financials!$J24:$BQ24)</f>
        <v>4058717.1314063519</v>
      </c>
      <c r="L23" s="19">
        <f ca="1" xml:space="preserve"> SUMIF( Time!$J302:$BQ302, Time!L$28, Financials!$J24:$BQ24)</f>
        <v>11953480.889049191</v>
      </c>
      <c r="M23" s="19">
        <f ca="1" xml:space="preserve"> SUMIF( Time!$J302:$BQ302, Time!M$28, Financials!$J24:$BQ24)</f>
        <v>31207766.707879983</v>
      </c>
      <c r="N23" s="19">
        <f ca="1" xml:space="preserve"> SUMIF( Time!$J302:$BQ302, Time!N$28, Financials!$J24:$BQ24)</f>
        <v>73584272.536620468</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Time!$J302:$BQ302, Time!J$28, Financials!$J38:$BQ38)</f>
        <v>286225.74465849414</v>
      </c>
      <c r="K25" s="10">
        <f ca="1" xml:space="preserve"> SUMIF( Time!$J302:$BQ302, Time!K$28, Financials!$J38:$BQ38)</f>
        <v>4058717.1314063538</v>
      </c>
      <c r="L25" s="10">
        <f ca="1" xml:space="preserve"> SUMIF( Time!$J302:$BQ302, Time!L$28, Financials!$J38:$BQ38)</f>
        <v>11953480.889049191</v>
      </c>
      <c r="M25" s="10">
        <f ca="1" xml:space="preserve"> SUMIF( Time!$J302:$BQ302, Time!M$28, Financials!$J38:$BQ38)</f>
        <v>31207766.70787999</v>
      </c>
      <c r="N25" s="10">
        <f ca="1" xml:space="preserve"> SUMIF( Time!$J302:$BQ302, Time!N$28,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Time!$J302:$BQ302, Time!J$28, Equity!$J13:$BQ13)</f>
        <v>0</v>
      </c>
      <c r="K26" s="10">
        <f xml:space="preserve"> SUMIF( Time!$J302:$BQ302, Time!K$28, Equity!$J13:$BQ13)</f>
        <v>0</v>
      </c>
      <c r="L26" s="10">
        <f xml:space="preserve"> SUMIF( Time!$J302:$BQ302, Time!L$28, Equity!$J13:$BQ13)</f>
        <v>0</v>
      </c>
      <c r="M26" s="10">
        <f xml:space="preserve"> SUMIF( Time!$J302:$BQ302, Time!M$28, Equity!$J13:$BQ13)</f>
        <v>0</v>
      </c>
      <c r="N26" s="10">
        <f xml:space="preserve"> SUMIF( Time!$J302:$BQ302, Time!N$28,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Time!$J302:$BQ302, Time!J$28, Financials!$J30:$BQ30)</f>
        <v>286225.74465849414</v>
      </c>
      <c r="K27" s="19">
        <f ca="1" xml:space="preserve"> SUMIF( Time!$J302:$BQ302, Time!K$28, Financials!$J30:$BQ30)</f>
        <v>4058717.1314063538</v>
      </c>
      <c r="L27" s="19">
        <f ca="1" xml:space="preserve"> SUMIF( Time!$J302:$BQ302, Time!L$28, Financials!$J30:$BQ30)</f>
        <v>11953480.889049191</v>
      </c>
      <c r="M27" s="19">
        <f ca="1" xml:space="preserve"> SUMIF( Time!$J302:$BQ302, Time!M$28, Financials!$J30:$BQ30)</f>
        <v>31207766.70787999</v>
      </c>
      <c r="N27" s="19">
        <f ca="1" xml:space="preserve"> SUMIF( Time!$J302:$BQ302, Time!N$28, Financials!$J30:$BQ30)</f>
        <v>73584272.536620528</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3">
    <cfRule type="cellIs" dxfId="178" priority="8" stopIfTrue="1" operator="notEqual">
      <formula>0</formula>
    </cfRule>
    <cfRule type="cellIs" dxfId="177" priority="9" stopIfTrue="1" operator="equal">
      <formula>""</formula>
    </cfRule>
  </conditionalFormatting>
  <conditionalFormatting sqref="J3:P3">
    <cfRule type="cellIs" dxfId="176" priority="6" stopIfTrue="1" operator="equal">
      <formula>"Construction"</formula>
    </cfRule>
    <cfRule type="cellIs" dxfId="175" priority="7" stopIfTrue="1" operator="equal">
      <formula>"Operations"</formula>
    </cfRule>
  </conditionalFormatting>
  <conditionalFormatting sqref="J3:P3">
    <cfRule type="cellIs" dxfId="174" priority="5" operator="equal">
      <formula>"Fin Close"</formula>
    </cfRule>
  </conditionalFormatting>
  <conditionalFormatting sqref="J3:P3">
    <cfRule type="cellIs" dxfId="173" priority="3" operator="equal">
      <formula>"PPA ext."</formula>
    </cfRule>
    <cfRule type="cellIs" dxfId="172" priority="4" operator="equal">
      <formula>"Delay"</formula>
    </cfRule>
  </conditionalFormatting>
  <conditionalFormatting sqref="F2">
    <cfRule type="cellIs" dxfId="171" priority="1" stopIfTrue="1" operator="notEqual">
      <formula>0</formula>
    </cfRule>
    <cfRule type="cellIs" dxfId="170"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1" width="12.44140625" bestFit="1" customWidth="1"/>
    <col min="12" max="12" width="13.21875" bestFit="1" customWidth="1"/>
    <col min="13" max="13" width="13.88671875" bestFit="1" customWidth="1"/>
    <col min="14" max="14" width="14.4414062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Cashflow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Time!$J297:$BQ297, Time!J$28, 'Working Capital'!$J22:$BQ22)</f>
        <v>2764800</v>
      </c>
      <c r="K8" s="10">
        <f ca="1" xml:space="preserve"> SUMIF( Time!$J297:$BQ297, Time!K$28, 'Working Capital'!$J22:$BQ22)</f>
        <v>9676800</v>
      </c>
      <c r="L8" s="10">
        <f ca="1" xml:space="preserve"> SUMIF( Time!$J297:$BQ297, Time!L$28, 'Working Capital'!$J22:$BQ22)</f>
        <v>25056000</v>
      </c>
      <c r="M8" s="10">
        <f ca="1" xml:space="preserve"> SUMIF( Time!$J297:$BQ297, Time!M$28, 'Working Capital'!$J22:$BQ22)</f>
        <v>63072000</v>
      </c>
      <c r="N8" s="10">
        <f ca="1" xml:space="preserve"> SUMIF( Time!$J297:$BQ297, Time!N$28, 'Working Capital'!$J22:$BQ22)</f>
        <v>134784000</v>
      </c>
    </row>
    <row r="9" spans="1:16">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Time!$J297:$BQ297, Time!J$28, 'Working Capital'!$J52:$BQ52)</f>
        <v>-1217937.3160019517</v>
      </c>
      <c r="K9" s="10">
        <f ca="1" xml:space="preserve"> SUMIF( Time!$J297:$BQ297, Time!K$28, 'Working Capital'!$J52:$BQ52)</f>
        <v>-2088784.014268989</v>
      </c>
      <c r="L9" s="10">
        <f ca="1" xml:space="preserve"> SUMIF( Time!$J297:$BQ297, Time!L$28, 'Working Capital'!$J52:$BQ52)</f>
        <v>-4109397.504412272</v>
      </c>
      <c r="M9" s="10">
        <f ca="1" xml:space="preserve"> SUMIF( Time!$J297:$BQ297, Time!M$28, 'Working Capital'!$J52:$BQ52)</f>
        <v>-7734443.347148912</v>
      </c>
      <c r="N9" s="10">
        <f ca="1" xml:space="preserve"> SUMIF( Time!$J297:$BQ297, Time!N$28, 'Working Capital'!$J52:$BQ52)</f>
        <v>-14730863.268385068</v>
      </c>
    </row>
    <row r="10" spans="1:16">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Time!$J297:$BQ297, Time!J$28, VAT!$J38:$BQ38)</f>
        <v>-300114.71418462391</v>
      </c>
      <c r="K10" s="10">
        <f ca="1" xml:space="preserve"> SUMIF( Time!$J297:$BQ297, Time!K$28, VAT!$J38:$BQ38)</f>
        <v>-1154594.7484605766</v>
      </c>
      <c r="L10" s="10">
        <f ca="1" xml:space="preserve"> SUMIF( Time!$J297:$BQ297, Time!L$28, VAT!$J38:$BQ38)</f>
        <v>-2602830.2998053776</v>
      </c>
      <c r="M10" s="10">
        <f ca="1" xml:space="preserve"> SUMIF( Time!$J297:$BQ297, Time!M$28, VAT!$J38:$BQ38)</f>
        <v>-7659733.9205855932</v>
      </c>
      <c r="N10" s="10">
        <f ca="1" xml:space="preserve"> SUMIF( Time!$J297:$BQ297, Time!N$28, VAT!$J38:$BQ38)</f>
        <v>-16717032.822720695</v>
      </c>
    </row>
    <row r="11" spans="1:16">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Time!$J297:$BQ297, Time!J$28, 'Corporation tax'!$J69:$BQ69)</f>
        <v>0</v>
      </c>
      <c r="K11" s="10">
        <f ca="1" xml:space="preserve"> SUMIF( Time!$J297:$BQ297, Time!K$28, 'Corporation tax'!$J69:$BQ69)</f>
        <v>-358506.10425785242</v>
      </c>
      <c r="L11" s="10">
        <f ca="1" xml:space="preserve"> SUMIF( Time!$J297:$BQ297, Time!L$28, 'Corporation tax'!$J69:$BQ69)</f>
        <v>-1415781.5297293758</v>
      </c>
      <c r="M11" s="10">
        <f ca="1" xml:space="preserve"> SUMIF( Time!$J297:$BQ297, Time!M$28, 'Corporation tax'!$J69:$BQ69)</f>
        <v>-3038017.585057735</v>
      </c>
      <c r="N11" s="10">
        <f ca="1" xml:space="preserve"> SUMIF( Time!$J297:$BQ297, Time!N$28, 'Corporation tax'!$J69:$BQ69)</f>
        <v>-7304407.809826185</v>
      </c>
    </row>
    <row r="12" spans="1:16">
      <c r="E12" s="12" t="s">
        <v>114</v>
      </c>
      <c r="F12" s="30"/>
      <c r="G12" s="12" t="s">
        <v>258</v>
      </c>
      <c r="H12" s="56">
        <f ca="1" xml:space="preserve"> SUM( J12:BQ12 )</f>
        <v>164921155.01515478</v>
      </c>
      <c r="I12" s="30"/>
      <c r="J12" s="12">
        <f ca="1" xml:space="preserve"> SUMIF( Time!$J297:$BQ297, Time!J$28, Cashflow!$J12:$BQ12)</f>
        <v>1246747.9698134246</v>
      </c>
      <c r="K12" s="12">
        <f ca="1" xml:space="preserve"> SUMIF( Time!$J297:$BQ297, Time!K$28, Cashflow!$J12:$BQ12)</f>
        <v>6074915.1330125816</v>
      </c>
      <c r="L12" s="12">
        <f ca="1" xml:space="preserve"> SUMIF( Time!$J297:$BQ297, Time!L$28, Cashflow!$J12:$BQ12)</f>
        <v>16927990.666052975</v>
      </c>
      <c r="M12" s="12">
        <f ca="1" xml:space="preserve"> SUMIF( Time!$J297:$BQ297, Time!M$28, Cashflow!$J12:$BQ12)</f>
        <v>44639805.147207752</v>
      </c>
      <c r="N12" s="12">
        <f ca="1" xml:space="preserve"> SUMIF( Time!$J297:$BQ297, Time!N$28, Cashflow!$J12:$BQ12)</f>
        <v>96031696.099068061</v>
      </c>
    </row>
    <row r="14" spans="1:16">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Time!$J297:$BQ297, Time!J$28, 'Working Capital'!$J15:$BQ15)</f>
        <v>-1407000</v>
      </c>
      <c r="K14" s="10">
        <f ca="1" xml:space="preserve"> SUMIF( Time!$J297:$BQ297, Time!K$28, 'Working Capital'!$J15:$BQ15)</f>
        <v>-1763999.9999999998</v>
      </c>
      <c r="L14" s="10">
        <f ca="1" xml:space="preserve"> SUMIF( Time!$J297:$BQ297, Time!L$28, 'Working Capital'!$J15:$BQ15)</f>
        <v>-6174000</v>
      </c>
      <c r="M14" s="10">
        <f ca="1" xml:space="preserve"> SUMIF( Time!$J297:$BQ297, Time!M$28, 'Working Capital'!$J15:$BQ15)</f>
        <v>-13881000</v>
      </c>
      <c r="N14" s="10">
        <f ca="1" xml:space="preserve"> SUMIF( Time!$J297:$BQ297, Time!N$28, 'Working Capital'!$J15:$BQ15)</f>
        <v>-27216000</v>
      </c>
    </row>
    <row r="15" spans="1:16">
      <c r="E15" s="12" t="s">
        <v>19</v>
      </c>
      <c r="F15" s="30"/>
      <c r="G15" s="12" t="s">
        <v>258</v>
      </c>
      <c r="H15" s="56">
        <f ca="1" xml:space="preserve"> SUM( J15:BQ15 )</f>
        <v>114479155.01515478</v>
      </c>
      <c r="I15" s="30"/>
      <c r="J15" s="12">
        <f ca="1" xml:space="preserve"> SUMIF( Time!$J297:$BQ297, Time!J$28, Cashflow!$J15:$BQ15)</f>
        <v>-160252.03018657528</v>
      </c>
      <c r="K15" s="12">
        <f ca="1" xml:space="preserve"> SUMIF( Time!$J297:$BQ297, Time!K$28, Cashflow!$J15:$BQ15)</f>
        <v>4310915.1330125816</v>
      </c>
      <c r="L15" s="12">
        <f ca="1" xml:space="preserve"> SUMIF( Time!$J297:$BQ297, Time!L$28, Cashflow!$J15:$BQ15)</f>
        <v>10753990.666052975</v>
      </c>
      <c r="M15" s="12">
        <f ca="1" xml:space="preserve"> SUMIF( Time!$J297:$BQ297, Time!M$28, Cashflow!$J15:$BQ15)</f>
        <v>30758805.147207759</v>
      </c>
      <c r="N15" s="12">
        <f ca="1" xml:space="preserve"> SUMIF( Time!$J297:$BQ297, Time!N$28, Cashflow!$J15:$BQ15)</f>
        <v>68815696.099068046</v>
      </c>
    </row>
    <row r="17" spans="5:14">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Time!$J297:$BQ297, Time!J$28, 'Supply Chain finance'!$J22:$BQ22)</f>
        <v>1400000</v>
      </c>
      <c r="K17" s="10">
        <f ca="1" xml:space="preserve"> SUMIF( Time!$J297:$BQ297, Time!K$28, 'Supply Chain finance'!$J22:$BQ22)</f>
        <v>1960000</v>
      </c>
      <c r="L17" s="10">
        <f ca="1" xml:space="preserve"> SUMIF( Time!$J297:$BQ297, Time!L$28, 'Supply Chain finance'!$J22:$BQ22)</f>
        <v>700000</v>
      </c>
      <c r="M17" s="10">
        <f ca="1" xml:space="preserve"> SUMIF( Time!$J297:$BQ297, Time!M$28, 'Supply Chain finance'!$J22:$BQ22)</f>
        <v>0</v>
      </c>
      <c r="N17" s="10">
        <f ca="1" xml:space="preserve"> SUMIF( Time!$J297:$BQ297, Time!N$28, 'Supply Chain finance'!$J22:$BQ22)</f>
        <v>0</v>
      </c>
    </row>
    <row r="18" spans="5:14">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Time!$J297:$BQ297, Time!J$28, 'Supply Chain finance'!$J29:$BQ29)</f>
        <v>-840000</v>
      </c>
      <c r="K18" s="10">
        <f ca="1" xml:space="preserve"> SUMIF( Time!$J297:$BQ297, Time!K$28, 'Supply Chain finance'!$J29:$BQ29)</f>
        <v>-980000</v>
      </c>
      <c r="L18" s="10">
        <f ca="1" xml:space="preserve"> SUMIF( Time!$J297:$BQ297, Time!L$28, 'Supply Chain finance'!$J29:$BQ29)</f>
        <v>-2240000</v>
      </c>
      <c r="M18" s="10">
        <f ca="1" xml:space="preserve"> SUMIF( Time!$J297:$BQ297, Time!M$28, 'Supply Chain finance'!$J29:$BQ29)</f>
        <v>0</v>
      </c>
      <c r="N18" s="10">
        <f ca="1" xml:space="preserve"> SUMIF( Time!$J297:$BQ297, Time!N$28, 'Supply Chain finance'!$J29:$BQ29)</f>
        <v>0</v>
      </c>
    </row>
    <row r="19" spans="5:14">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Time!$J297:$BQ297, Time!J$28, 'Invoice finance'!$J21:$BQ21)</f>
        <v>1506600</v>
      </c>
      <c r="K19" s="10">
        <f ca="1" xml:space="preserve"> SUMIF( Time!$J297:$BQ297, Time!K$28, 'Invoice finance'!$J21:$BQ21)</f>
        <v>7140452.1490096571</v>
      </c>
      <c r="L19" s="10">
        <f ca="1" xml:space="preserve"> SUMIF( Time!$J297:$BQ297, Time!L$28, 'Invoice finance'!$J21:$BQ21)</f>
        <v>1641600</v>
      </c>
      <c r="M19" s="10">
        <f ca="1" xml:space="preserve"> SUMIF( Time!$J297:$BQ297, Time!M$28, 'Invoice finance'!$J21:$BQ21)</f>
        <v>0</v>
      </c>
      <c r="N19" s="10">
        <f ca="1" xml:space="preserve"> SUMIF( Time!$J297:$BQ297, Time!N$28, 'Invoice finance'!$J21:$BQ21)</f>
        <v>0</v>
      </c>
    </row>
    <row r="20" spans="5:14">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Time!$J297:$BQ297, Time!J$28, 'Invoice finance'!$J28:$BQ28)</f>
        <v>-912600</v>
      </c>
      <c r="K20" s="10">
        <f ca="1" xml:space="preserve"> SUMIF( Time!$J297:$BQ297, Time!K$28, 'Invoice finance'!$J28:$BQ28)</f>
        <v>-6330452.1490096571</v>
      </c>
      <c r="L20" s="10">
        <f ca="1" xml:space="preserve"> SUMIF( Time!$J297:$BQ297, Time!L$28, 'Invoice finance'!$J28:$BQ28)</f>
        <v>-3045600</v>
      </c>
      <c r="M20" s="10">
        <f ca="1" xml:space="preserve"> SUMIF( Time!$J297:$BQ297, Time!M$28, 'Invoice finance'!$J28:$BQ28)</f>
        <v>0</v>
      </c>
      <c r="N20" s="10">
        <f ca="1" xml:space="preserve"> SUMIF( Time!$J297:$BQ297, Time!N$28, 'Invoice finance'!$J28:$BQ28)</f>
        <v>0</v>
      </c>
    </row>
    <row r="21" spans="5:14">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Time!$J297:$BQ297, Time!J$28, 'Asset Finance'!$J22:$BQ22)</f>
        <v>1225000</v>
      </c>
      <c r="K21" s="10">
        <f ca="1" xml:space="preserve"> SUMIF( Time!$J297:$BQ297, Time!K$28, 'Asset Finance'!$J22:$BQ22)</f>
        <v>1225000</v>
      </c>
      <c r="L21" s="10">
        <f ca="1" xml:space="preserve"> SUMIF( Time!$J297:$BQ297, Time!L$28, 'Asset Finance'!$J22:$BQ22)</f>
        <v>0</v>
      </c>
      <c r="M21" s="10">
        <f ca="1" xml:space="preserve"> SUMIF( Time!$J297:$BQ297, Time!M$28, 'Asset Finance'!$J22:$BQ22)</f>
        <v>0</v>
      </c>
      <c r="N21" s="10">
        <f ca="1" xml:space="preserve"> SUMIF( Time!$J297:$BQ297, Time!N$28, 'Asset Finance'!$J22:$BQ22)</f>
        <v>0</v>
      </c>
    </row>
    <row r="22" spans="5:14">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Time!$J297:$BQ297, Time!J$28, 'Asset Finance'!$J29:$BQ29)</f>
        <v>-168093.72011796504</v>
      </c>
      <c r="K22" s="10">
        <f ca="1" xml:space="preserve"> SUMIF( Time!$J297:$BQ297, Time!K$28, 'Asset Finance'!$J29:$BQ29)</f>
        <v>-686483.38078147685</v>
      </c>
      <c r="L22" s="10">
        <f ca="1" xml:space="preserve"> SUMIF( Time!$J297:$BQ297, Time!L$28, 'Asset Finance'!$J29:$BQ29)</f>
        <v>-638063.61588862783</v>
      </c>
      <c r="M22" s="10">
        <f ca="1" xml:space="preserve"> SUMIF( Time!$J297:$BQ297, Time!M$28, 'Asset Finance'!$J29:$BQ29)</f>
        <v>-382880.38005166402</v>
      </c>
      <c r="N22" s="10">
        <f ca="1" xml:space="preserve"> SUMIF( Time!$J297:$BQ297, Time!N$28, 'Asset Finance'!$J29:$BQ29)</f>
        <v>-229753.55713448921</v>
      </c>
    </row>
    <row r="23" spans="5:14">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Time!$J297:$BQ297, Time!J$28, 'Supply Chain finance'!$J48:$BQ48)</f>
        <v>-48533.333333333336</v>
      </c>
      <c r="K23" s="10">
        <f ca="1" xml:space="preserve"> SUMIF( Time!$J297:$BQ297, Time!K$28, 'Supply Chain finance'!$J48:$BQ48)</f>
        <v>-49466.666666666664</v>
      </c>
      <c r="L23" s="10">
        <f ca="1" xml:space="preserve"> SUMIF( Time!$J297:$BQ297, Time!L$28, 'Supply Chain finance'!$J48:$BQ48)</f>
        <v>-64400</v>
      </c>
      <c r="M23" s="10">
        <f ca="1" xml:space="preserve"> SUMIF( Time!$J297:$BQ297, Time!M$28, 'Supply Chain finance'!$J48:$BQ48)</f>
        <v>0</v>
      </c>
      <c r="N23" s="10">
        <f ca="1" xml:space="preserve"> SUMIF( Time!$J297:$BQ297, Time!N$28, 'Supply Chain finance'!$J48:$BQ48)</f>
        <v>0</v>
      </c>
    </row>
    <row r="24" spans="5:14">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Time!$J297:$BQ297, Time!J$28, 'Invoice finance'!$J47:$BQ47)</f>
        <v>-17685</v>
      </c>
      <c r="K24" s="10">
        <f ca="1" xml:space="preserve"> SUMIF( Time!$J297:$BQ297, Time!K$28, 'Invoice finance'!$J47:$BQ47)</f>
        <v>-108657.53581682761</v>
      </c>
      <c r="L24" s="10">
        <f ca="1" xml:space="preserve"> SUMIF( Time!$J297:$BQ297, Time!L$28, 'Invoice finance'!$J47:$BQ47)</f>
        <v>-45135</v>
      </c>
      <c r="M24" s="10">
        <f ca="1" xml:space="preserve"> SUMIF( Time!$J297:$BQ297, Time!M$28, 'Invoice finance'!$J47:$BQ47)</f>
        <v>0</v>
      </c>
      <c r="N24" s="10">
        <f ca="1" xml:space="preserve"> SUMIF( Time!$J297:$BQ297, Time!N$28, 'Invoice finance'!$J47:$BQ47)</f>
        <v>0</v>
      </c>
    </row>
    <row r="25" spans="5:14">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Time!$J297:$BQ297, Time!J$28, 'Asset Finance'!$J48:$BQ48)</f>
        <v>-26894.99521887441</v>
      </c>
      <c r="K25" s="10">
        <f ca="1" xml:space="preserve"> SUMIF( Time!$J297:$BQ297, Time!K$28, 'Asset Finance'!$J48:$BQ48)</f>
        <v>-109837.34092503627</v>
      </c>
      <c r="L25" s="10">
        <f ca="1" xml:space="preserve"> SUMIF( Time!$J297:$BQ297, Time!L$28, 'Asset Finance'!$J48:$BQ48)</f>
        <v>-102090.17854218044</v>
      </c>
      <c r="M25" s="10">
        <f ca="1" xml:space="preserve"> SUMIF( Time!$J297:$BQ297, Time!M$28, 'Asset Finance'!$J48:$BQ48)</f>
        <v>-61260.860808266239</v>
      </c>
      <c r="N25" s="10">
        <f ca="1" xml:space="preserve"> SUMIF( Time!$J297:$BQ297, Time!N$28, 'Asset Finance'!$J48:$BQ48)</f>
        <v>-36760.569141518274</v>
      </c>
    </row>
    <row r="26" spans="5:14">
      <c r="E26" s="12" t="s">
        <v>181</v>
      </c>
      <c r="F26" s="30"/>
      <c r="G26" s="12" t="s">
        <v>258</v>
      </c>
      <c r="H26" s="56">
        <f ca="1" xml:space="preserve"> SUM( J26:BQ26 )</f>
        <v>114153158.88072786</v>
      </c>
      <c r="I26" s="30"/>
      <c r="J26" s="12">
        <f ca="1" xml:space="preserve"> SUMIF( Time!$J297:$BQ297, Time!J$28, Cashflow!$J26:$BQ26)</f>
        <v>1957540.9211432522</v>
      </c>
      <c r="K26" s="12">
        <f ca="1" xml:space="preserve"> SUMIF( Time!$J297:$BQ297, Time!K$28, Cashflow!$J26:$BQ26)</f>
        <v>6371470.2088225745</v>
      </c>
      <c r="L26" s="12">
        <f ca="1" xml:space="preserve"> SUMIF( Time!$J297:$BQ297, Time!L$28, Cashflow!$J26:$BQ26)</f>
        <v>6960301.8716221666</v>
      </c>
      <c r="M26" s="12">
        <f ca="1" xml:space="preserve"> SUMIF( Time!$J297:$BQ297, Time!M$28, Cashflow!$J26:$BQ26)</f>
        <v>30314663.906347826</v>
      </c>
      <c r="N26" s="12">
        <f ca="1" xml:space="preserve"> SUMIF( Time!$J297:$BQ297, Time!N$28, Cashflow!$J26:$BQ26)</f>
        <v>68549181.972792044</v>
      </c>
    </row>
    <row r="28" spans="5:14">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Time!$J297:$BQ297, Time!J$28, InpS!$J11:$BQ11)</f>
        <v>0</v>
      </c>
      <c r="K28" s="10">
        <f xml:space="preserve"> SUMIF( Time!$J297:$BQ297, Time!K$28, InpS!$J11:$BQ11)</f>
        <v>0</v>
      </c>
      <c r="L28" s="10">
        <f xml:space="preserve"> SUMIF( Time!$J297:$BQ297, Time!L$28, InpS!$J11:$BQ11)</f>
        <v>0</v>
      </c>
      <c r="M28" s="10">
        <f xml:space="preserve"> SUMIF( Time!$J297:$BQ297, Time!M$28, InpS!$J11:$BQ11)</f>
        <v>0</v>
      </c>
      <c r="N28" s="10">
        <f xml:space="preserve"> SUMIF( Time!$J297:$BQ297, Time!N$28, InpS!$J11:$BQ11)</f>
        <v>0</v>
      </c>
    </row>
    <row r="29" spans="5:14">
      <c r="E29" s="12" t="s">
        <v>115</v>
      </c>
      <c r="F29" s="30"/>
      <c r="G29" s="12" t="s">
        <v>258</v>
      </c>
      <c r="H29" s="56">
        <f ca="1" xml:space="preserve"> SUM( J29:BQ29 )</f>
        <v>114153158.88072786</v>
      </c>
      <c r="I29" s="30"/>
      <c r="J29" s="12">
        <f ca="1" xml:space="preserve"> SUMIF( Time!$J297:$BQ297, Time!J$28, Cashflow!$J29:$BQ29)</f>
        <v>1957540.9211432522</v>
      </c>
      <c r="K29" s="12">
        <f ca="1" xml:space="preserve"> SUMIF( Time!$J297:$BQ297, Time!K$28, Cashflow!$J29:$BQ29)</f>
        <v>6371470.2088225745</v>
      </c>
      <c r="L29" s="12">
        <f ca="1" xml:space="preserve"> SUMIF( Time!$J297:$BQ297, Time!L$28, Cashflow!$J29:$BQ29)</f>
        <v>6960301.8716221666</v>
      </c>
      <c r="M29" s="12">
        <f ca="1" xml:space="preserve"> SUMIF( Time!$J297:$BQ297, Time!M$28, Cashflow!$J29:$BQ29)</f>
        <v>30314663.906347826</v>
      </c>
      <c r="N29" s="12">
        <f ca="1" xml:space="preserve"> SUMIF( Time!$J297:$BQ297, Time!N$28, Cashflow!$J29:$BQ29)</f>
        <v>68549181.972792044</v>
      </c>
    </row>
  </sheetData>
  <conditionalFormatting sqref="F3">
    <cfRule type="cellIs" dxfId="169" priority="8" stopIfTrue="1" operator="notEqual">
      <formula>0</formula>
    </cfRule>
    <cfRule type="cellIs" dxfId="168" priority="9" stopIfTrue="1" operator="equal">
      <formula>""</formula>
    </cfRule>
  </conditionalFormatting>
  <conditionalFormatting sqref="J3:P3">
    <cfRule type="cellIs" dxfId="167" priority="6" stopIfTrue="1" operator="equal">
      <formula>"Construction"</formula>
    </cfRule>
    <cfRule type="cellIs" dxfId="166" priority="7" stopIfTrue="1" operator="equal">
      <formula>"Operations"</formula>
    </cfRule>
  </conditionalFormatting>
  <conditionalFormatting sqref="J3:P3">
    <cfRule type="cellIs" dxfId="165" priority="5" operator="equal">
      <formula>"Fin Close"</formula>
    </cfRule>
  </conditionalFormatting>
  <conditionalFormatting sqref="J3:P3">
    <cfRule type="cellIs" dxfId="164" priority="3" operator="equal">
      <formula>"PPA ext."</formula>
    </cfRule>
    <cfRule type="cellIs" dxfId="163" priority="4" operator="equal">
      <formula>"Delay"</formula>
    </cfRule>
  </conditionalFormatting>
  <conditionalFormatting sqref="F2">
    <cfRule type="cellIs" dxfId="162" priority="1" stopIfTrue="1" operator="notEqual">
      <formula>0</formula>
    </cfRule>
    <cfRule type="cellIs" dxfId="161"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F81BD"/>
    <outlinePr summaryBelow="0" summaryRight="0"/>
  </sheetPr>
  <dimension ref="A1:P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Inventory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Time!J$35</f>
        <v>45412</v>
      </c>
      <c r="K2" s="6">
        <f xml:space="preserve"> Time!K$35</f>
        <v>45777</v>
      </c>
      <c r="L2" s="6">
        <f xml:space="preserve"> Time!L$35</f>
        <v>46142</v>
      </c>
      <c r="M2" s="6">
        <f xml:space="preserve"> Time!M$35</f>
        <v>46507</v>
      </c>
      <c r="N2" s="6">
        <f xml:space="preserve"> Time!N$35</f>
        <v>46873</v>
      </c>
      <c r="O2" s="6"/>
      <c r="P2" s="6"/>
    </row>
    <row r="3" spans="1:16" s="32" customFormat="1">
      <c r="A3" s="51"/>
      <c r="B3" s="51"/>
      <c r="C3" s="71"/>
      <c r="D3" s="72"/>
      <c r="E3" s="41" t="s">
        <v>206</v>
      </c>
      <c r="F3" s="52"/>
      <c r="G3" s="54" t="s">
        <v>98</v>
      </c>
      <c r="H3" s="49"/>
      <c r="I3" s="49"/>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6" customFormat="1">
      <c r="A4" s="51"/>
      <c r="B4" s="51"/>
      <c r="C4" s="71"/>
      <c r="D4" s="72"/>
      <c r="E4" s="22" t="s">
        <v>332</v>
      </c>
      <c r="F4"/>
      <c r="G4"/>
      <c r="H4" s="49"/>
      <c r="I4" s="49"/>
      <c r="J4" s="26">
        <f xml:space="preserve"> Time!J$48</f>
        <v>12</v>
      </c>
      <c r="K4" s="26">
        <f xml:space="preserve"> Time!K$48</f>
        <v>24</v>
      </c>
      <c r="L4" s="26">
        <f xml:space="preserve"> Time!L$48</f>
        <v>36</v>
      </c>
      <c r="M4" s="26">
        <f xml:space="preserve"> Time!M$48</f>
        <v>48</v>
      </c>
      <c r="N4" s="26">
        <f xml:space="preserve"> Time!N$48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Time!$J297:$BQ297, Time!J$28, Customers!$J14:$BQ14)</f>
        <v>38000</v>
      </c>
      <c r="K8" s="10">
        <f xml:space="preserve"> SUMIF( Time!$J297:$BQ297, Time!K$28, Customers!$J14:$BQ14)</f>
        <v>89085.768725528833</v>
      </c>
      <c r="L8" s="10">
        <f xml:space="preserve"> SUMIF( Time!$J297:$BQ297, Time!L$28, Customers!$J14:$BQ14)</f>
        <v>178171.53745105775</v>
      </c>
      <c r="M8" s="10">
        <f xml:space="preserve"> SUMIF( Time!$J297:$BQ297, Time!M$28, Customers!$J14:$BQ14)</f>
        <v>356343.07490211574</v>
      </c>
      <c r="N8" s="10">
        <f xml:space="preserve"> SUMIF( Time!$J297:$BQ297, Time!N$28, Customers!$J14:$BQ14)</f>
        <v>712686.14980423183</v>
      </c>
    </row>
    <row r="9" spans="1:16">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Time!$J297:$BQ297, Time!J$28, Customers!$J35:$BQ35)</f>
        <v>0</v>
      </c>
      <c r="K9" s="10">
        <f ca="1" xml:space="preserve"> SUMIF( Time!$J297:$BQ297, Time!K$28, Customers!$J35:$BQ35)</f>
        <v>0</v>
      </c>
      <c r="L9" s="10">
        <f ca="1" xml:space="preserve"> SUMIF( Time!$J297:$BQ297, Time!L$28, Customers!$J35:$BQ35)</f>
        <v>34200</v>
      </c>
      <c r="M9" s="10">
        <f ca="1" xml:space="preserve"> SUMIF( Time!$J297:$BQ297, Time!M$28, Customers!$J35:$BQ35)</f>
        <v>80177.191852975957</v>
      </c>
      <c r="N9" s="10">
        <f ca="1" xml:space="preserve"> SUMIF( Time!$J297:$BQ297, Time!N$28, Customers!$J35:$BQ35)</f>
        <v>160354.38370595197</v>
      </c>
    </row>
    <row r="10" spans="1:16">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Time!$J302:$BQ302, Time!J$28, Customers!$J24:$BQ24)</f>
        <v>12000</v>
      </c>
      <c r="K10" s="10">
        <f ca="1" xml:space="preserve"> SUMIF( Time!$J302:$BQ302, Time!K$28, Customers!$J24:$BQ24)</f>
        <v>61085.768725528847</v>
      </c>
      <c r="L10" s="10">
        <f ca="1" xml:space="preserve"> SUMIF( Time!$J302:$BQ302, Time!L$28, Customers!$J24:$BQ24)</f>
        <v>148457.3061765866</v>
      </c>
      <c r="M10" s="10">
        <f ca="1" xml:space="preserve"> SUMIF( Time!$J302:$BQ302, Time!M$28, Customers!$J24:$BQ24)</f>
        <v>289977.57293167821</v>
      </c>
      <c r="N10" s="10">
        <f ca="1" xml:space="preserve"> SUMIF( Time!$J302:$BQ302, Time!N$28, Customers!$J24:$BQ24)</f>
        <v>583018.10644186207</v>
      </c>
    </row>
    <row r="11" spans="1:16">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Time!$J297:$BQ297, Time!J$28, Inventory!$J33:$BQ33)</f>
        <v>50000</v>
      </c>
      <c r="K11" s="10">
        <f ca="1" xml:space="preserve"> SUMIF( Time!$J297:$BQ297, Time!K$28, Inventory!$J33:$BQ33)</f>
        <v>70000</v>
      </c>
      <c r="L11" s="10">
        <f ca="1" xml:space="preserve"> SUMIF( Time!$J297:$BQ297, Time!L$28, Inventory!$J33:$BQ33)</f>
        <v>210000</v>
      </c>
      <c r="M11" s="10">
        <f ca="1" xml:space="preserve"> SUMIF( Time!$J297:$BQ297, Time!M$28, Inventory!$J33:$BQ33)</f>
        <v>440000</v>
      </c>
      <c r="N11" s="10">
        <f ca="1" xml:space="preserve"> SUMIF( Time!$J297:$BQ297, Time!N$28, Inventory!$J33:$BQ33)</f>
        <v>870000</v>
      </c>
    </row>
    <row r="12" spans="1:16">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Time!$J302:$BQ302, Time!J$28, Inventory!$J50:$BQ50)</f>
        <v>20000</v>
      </c>
      <c r="K12" s="10">
        <f ca="1" xml:space="preserve"> SUMIF( Time!$J302:$BQ302, Time!K$28, Inventory!$J50:$BQ50)</f>
        <v>55000</v>
      </c>
      <c r="L12" s="10">
        <f ca="1" xml:space="preserve"> SUMIF( Time!$J302:$BQ302, Time!L$28, Inventory!$J50:$BQ50)</f>
        <v>130000</v>
      </c>
      <c r="M12" s="10">
        <f ca="1" xml:space="preserve"> SUMIF( Time!$J302:$BQ302, Time!M$28, Inventory!$J50:$BQ50)</f>
        <v>255000</v>
      </c>
      <c r="N12" s="10">
        <f ca="1" xml:space="preserve"> SUMIF( Time!$J302:$BQ302, Time!N$28, Inventory!$J50:$BQ50)</f>
        <v>510000</v>
      </c>
    </row>
    <row r="13" spans="1:16">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Time!$J297:$BQ297, Time!J$28, Inventory!$J41:$BQ41)</f>
        <v>35000</v>
      </c>
      <c r="K13" s="10">
        <f ca="1" xml:space="preserve"> SUMIF( Time!$J297:$BQ297, Time!K$28, Inventory!$J41:$BQ41)</f>
        <v>35000</v>
      </c>
      <c r="L13" s="10">
        <f ca="1" xml:space="preserve"> SUMIF( Time!$J297:$BQ297, Time!L$28, Inventory!$J41:$BQ41)</f>
        <v>135000</v>
      </c>
      <c r="M13" s="10">
        <f ca="1" xml:space="preserve"> SUMIF( Time!$J297:$BQ297, Time!M$28, Inventory!$J41:$BQ41)</f>
        <v>315000</v>
      </c>
      <c r="N13" s="10">
        <f ca="1" xml:space="preserve"> SUMIF( Time!$J297:$BQ297, Time!N$28, Inventory!$J41:$BQ41)</f>
        <v>615000</v>
      </c>
    </row>
    <row r="14" spans="1:16">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Time!$J297:$BQ297, Time!J$28, Inventory!$J18:$BQ18)</f>
        <v>0</v>
      </c>
      <c r="K14" s="10">
        <f ca="1" xml:space="preserve"> SUMIF( Time!$J297:$BQ297, Time!K$28, Inventory!$J18:$BQ18)</f>
        <v>0</v>
      </c>
      <c r="L14" s="10">
        <f ca="1" xml:space="preserve"> SUMIF( Time!$J297:$BQ297, Time!L$28, Inventory!$J18:$BQ18)</f>
        <v>38000</v>
      </c>
      <c r="M14" s="10">
        <f ca="1" xml:space="preserve"> SUMIF( Time!$J297:$BQ297, Time!M$28, Inventory!$J18:$BQ18)</f>
        <v>89085.768725528833</v>
      </c>
      <c r="N14" s="10">
        <f ca="1" xml:space="preserve"> SUMIF( Time!$J297:$BQ297, Time!N$28, Inventory!$J18:$BQ18)</f>
        <v>212371.53745105775</v>
      </c>
    </row>
    <row r="15" spans="1:16">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Time!$J302:$BQ302, Time!J$28, Inventory!$J65:$BQ65)</f>
        <v>10000</v>
      </c>
      <c r="K15" s="10">
        <f ca="1" xml:space="preserve"> SUMIF( Time!$J302:$BQ302, Time!K$28, Inventory!$J65:$BQ65)</f>
        <v>5000</v>
      </c>
      <c r="L15" s="10">
        <f ca="1" xml:space="preserve"> SUMIF( Time!$J302:$BQ302, Time!L$28, Inventory!$J65:$BQ65)</f>
        <v>15000</v>
      </c>
      <c r="M15" s="10">
        <f ca="1" xml:space="preserve"> SUMIF( Time!$J302:$BQ302, Time!M$28, Inventory!$J65:$BQ65)</f>
        <v>35000</v>
      </c>
      <c r="N15" s="10">
        <f ca="1" xml:space="preserve"> SUMIF( Time!$J302:$BQ302, Time!N$28, Inventory!$J65:$BQ65)</f>
        <v>70000</v>
      </c>
    </row>
    <row r="16" spans="1:16">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Time!$J297:$BQ297, Time!J$28, Inventory!$J54:$BQ54)</f>
        <v>26000</v>
      </c>
      <c r="K16" s="10">
        <f ca="1" xml:space="preserve"> SUMIF( Time!$J297:$BQ297, Time!K$28, Inventory!$J54:$BQ54)</f>
        <v>40000</v>
      </c>
      <c r="L16" s="10">
        <f ca="1" xml:space="preserve"> SUMIF( Time!$J297:$BQ297, Time!L$28, Inventory!$J54:$BQ54)</f>
        <v>125000</v>
      </c>
      <c r="M16" s="10">
        <f ca="1" xml:space="preserve"> SUMIF( Time!$J297:$BQ297, Time!M$28, Inventory!$J54:$BQ54)</f>
        <v>295000</v>
      </c>
      <c r="N16" s="10">
        <f ca="1" xml:space="preserve"> SUMIF( Time!$J297:$BQ297, Time!N$28, Inventory!$J54:$BQ54)</f>
        <v>580000</v>
      </c>
    </row>
    <row r="17" spans="5:14">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Time!$J302:$BQ302, Time!J$28, Inventory!$J73:$BQ73)</f>
        <v>27500</v>
      </c>
      <c r="K17" s="10">
        <f ca="1" xml:space="preserve"> SUMIF( Time!$J302:$BQ302, Time!K$28, Inventory!$J73:$BQ73)</f>
        <v>67500</v>
      </c>
      <c r="L17" s="10">
        <f ca="1" xml:space="preserve"> SUMIF( Time!$J302:$BQ302, Time!L$28, Inventory!$J73:$BQ73)</f>
        <v>154500</v>
      </c>
      <c r="M17" s="10">
        <f ca="1" xml:space="preserve"> SUMIF( Time!$J302:$BQ302, Time!M$28, Inventory!$J73:$BQ73)</f>
        <v>360414.23127447121</v>
      </c>
      <c r="N17" s="10">
        <f ca="1" xml:space="preserve"> SUMIF( Time!$J302:$BQ302, Time!N$28, Inventory!$J73:$BQ73)</f>
        <v>728042.69382341357</v>
      </c>
    </row>
    <row r="18" spans="5:14">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Time!$J297:$BQ297, Time!J$28, Inventory!$J77:$BQ77)</f>
        <v>0</v>
      </c>
      <c r="K18" s="10">
        <f ca="1" xml:space="preserve"> SUMIF( Time!$J297:$BQ297, Time!K$28, Inventory!$J77:$BQ77)</f>
        <v>0</v>
      </c>
      <c r="L18" s="10">
        <f ca="1" xml:space="preserve"> SUMIF( Time!$J297:$BQ297, Time!L$28, Inventory!$J77:$BQ77)</f>
        <v>38000</v>
      </c>
      <c r="M18" s="10">
        <f ca="1" xml:space="preserve"> SUMIF( Time!$J297:$BQ297, Time!M$28, Inventory!$J77:$BQ77)</f>
        <v>89085.768725528833</v>
      </c>
      <c r="N18" s="10">
        <f ca="1" xml:space="preserve"> SUMIF( Time!$J297:$BQ297, Time!N$28, Inventory!$J77:$BQ77)</f>
        <v>212371.53745105775</v>
      </c>
    </row>
    <row r="19" spans="5:14">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Time!$J302:$BQ302, Time!J$28, Inventory!$J85:$BQ85)</f>
        <v>0</v>
      </c>
      <c r="K19" s="10">
        <f ca="1" xml:space="preserve"> SUMIF( Time!$J302:$BQ302, Time!K$28, Inventory!$J85:$BQ85)</f>
        <v>0</v>
      </c>
      <c r="L19" s="10">
        <f ca="1" xml:space="preserve"> SUMIF( Time!$J302:$BQ302, Time!L$28, Inventory!$J85:$BQ85)</f>
        <v>38000</v>
      </c>
      <c r="M19" s="10">
        <f ca="1" xml:space="preserve"> SUMIF( Time!$J302:$BQ302, Time!M$28, Inventory!$J85:$BQ85)</f>
        <v>127085.76872552883</v>
      </c>
      <c r="N19" s="10">
        <f ca="1" xml:space="preserve"> SUMIF( Time!$J302:$BQ302, Time!N$28, Inventory!$J85:$BQ85)</f>
        <v>339457.30617658654</v>
      </c>
    </row>
  </sheetData>
  <conditionalFormatting sqref="F3">
    <cfRule type="cellIs" dxfId="160" priority="8" stopIfTrue="1" operator="notEqual">
      <formula>0</formula>
    </cfRule>
    <cfRule type="cellIs" dxfId="159" priority="9" stopIfTrue="1" operator="equal">
      <formula>""</formula>
    </cfRule>
  </conditionalFormatting>
  <conditionalFormatting sqref="J3:P3">
    <cfRule type="cellIs" dxfId="158" priority="6" stopIfTrue="1" operator="equal">
      <formula>"Construction"</formula>
    </cfRule>
    <cfRule type="cellIs" dxfId="157" priority="7" stopIfTrue="1" operator="equal">
      <formula>"Operations"</formula>
    </cfRule>
  </conditionalFormatting>
  <conditionalFormatting sqref="J3:P3">
    <cfRule type="cellIs" dxfId="156" priority="5" operator="equal">
      <formula>"Fin Close"</formula>
    </cfRule>
  </conditionalFormatting>
  <conditionalFormatting sqref="J3:P3">
    <cfRule type="cellIs" dxfId="155" priority="3" operator="equal">
      <formula>"PPA ext."</formula>
    </cfRule>
    <cfRule type="cellIs" dxfId="154" priority="4" operator="equal">
      <formula>"Delay"</formula>
    </cfRule>
  </conditionalFormatting>
  <conditionalFormatting sqref="F2">
    <cfRule type="cellIs" dxfId="153" priority="1" stopIfTrue="1" operator="notEqual">
      <formula>0</formula>
    </cfRule>
    <cfRule type="cellIs" dxfId="152"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4" width="11.77734375" bestFit="1" customWidth="1"/>
    <col min="15"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Metrics Report Ann</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f xml:space="preserve"> Time!J$55</f>
        <v>45412</v>
      </c>
      <c r="K2" s="6">
        <f xml:space="preserve"> Time!K$55</f>
        <v>45777</v>
      </c>
      <c r="L2" s="6">
        <f xml:space="preserve"> Time!L$55</f>
        <v>46142</v>
      </c>
      <c r="M2" s="6">
        <f xml:space="preserve"> Time!M$55</f>
        <v>46507</v>
      </c>
      <c r="N2" s="6">
        <f xml:space="preserve"> Time!N$55</f>
        <v>46873</v>
      </c>
      <c r="O2" s="6"/>
      <c r="P2" s="6"/>
    </row>
    <row r="3" spans="1:16" s="32" customFormat="1">
      <c r="A3" s="51"/>
      <c r="B3" s="51"/>
      <c r="C3" s="71"/>
      <c r="D3" s="72"/>
      <c r="E3" s="41" t="s">
        <v>206</v>
      </c>
      <c r="F3" s="52"/>
      <c r="G3" s="54" t="s">
        <v>98</v>
      </c>
      <c r="H3" s="49"/>
      <c r="I3" s="49"/>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6" customFormat="1">
      <c r="A4" s="51"/>
      <c r="B4" s="51"/>
      <c r="C4" s="71"/>
      <c r="D4" s="72"/>
      <c r="E4" s="22" t="s">
        <v>332</v>
      </c>
      <c r="F4"/>
      <c r="G4"/>
      <c r="H4" s="49"/>
      <c r="I4" s="49"/>
      <c r="J4" s="26">
        <f xml:space="preserve"> Time!J$68</f>
        <v>12</v>
      </c>
      <c r="K4" s="26">
        <f xml:space="preserve"> Time!K$68</f>
        <v>24</v>
      </c>
      <c r="L4" s="26">
        <f xml:space="preserve"> Time!L$68</f>
        <v>36</v>
      </c>
      <c r="M4" s="26">
        <f xml:space="preserve"> Time!M$68</f>
        <v>48</v>
      </c>
      <c r="N4" s="26">
        <f xml:space="preserve"> Time!N$68</f>
        <v>60</v>
      </c>
    </row>
    <row r="5" spans="1:16" s="32" customFormat="1">
      <c r="A5" s="51"/>
      <c r="B5" s="51"/>
      <c r="C5" s="71"/>
      <c r="D5" s="72"/>
      <c r="E5" s="22" t="s">
        <v>312</v>
      </c>
      <c r="F5" s="23" t="s">
        <v>254</v>
      </c>
      <c r="G5" s="23" t="s">
        <v>228</v>
      </c>
      <c r="H5" s="23" t="s">
        <v>205</v>
      </c>
      <c r="I5" s="49"/>
      <c r="J5" s="15"/>
      <c r="K5" s="15"/>
      <c r="L5" s="15"/>
      <c r="M5" s="15"/>
      <c r="N5" s="15"/>
      <c r="O5" s="15"/>
      <c r="P5" s="15"/>
    </row>
    <row r="6" spans="1:16" s="45" customFormat="1">
      <c r="A6" s="23"/>
      <c r="B6" s="23"/>
      <c r="C6" s="48"/>
      <c r="D6" s="75"/>
      <c r="F6" s="23"/>
      <c r="G6" s="23"/>
      <c r="H6" s="23"/>
    </row>
    <row r="8" spans="1:16">
      <c r="E8" s="17" t="str">
        <f xml:space="preserve"> Metrics!E$10</f>
        <v>Cash Low</v>
      </c>
      <c r="F8" s="17">
        <f ca="1" xml:space="preserve"> Metrics!$F$10</f>
        <v>-65340</v>
      </c>
      <c r="G8" s="17" t="str">
        <f xml:space="preserve"> Metrics!G$10</f>
        <v>GBP</v>
      </c>
      <c r="H8" s="44"/>
      <c r="I8" s="17"/>
      <c r="J8" s="10"/>
      <c r="K8" s="10"/>
      <c r="L8" s="10"/>
      <c r="M8" s="10"/>
      <c r="N8" s="10"/>
    </row>
  </sheetData>
  <conditionalFormatting sqref="F3">
    <cfRule type="cellIs" dxfId="151" priority="8" stopIfTrue="1" operator="notEqual">
      <formula>0</formula>
    </cfRule>
    <cfRule type="cellIs" dxfId="150" priority="9" stopIfTrue="1" operator="equal">
      <formula>""</formula>
    </cfRule>
  </conditionalFormatting>
  <conditionalFormatting sqref="J3:P3">
    <cfRule type="cellIs" dxfId="149" priority="6" stopIfTrue="1" operator="equal">
      <formula>"Construction"</formula>
    </cfRule>
    <cfRule type="cellIs" dxfId="148" priority="7" stopIfTrue="1" operator="equal">
      <formula>"Operations"</formula>
    </cfRule>
  </conditionalFormatting>
  <conditionalFormatting sqref="J3:P3">
    <cfRule type="cellIs" dxfId="147" priority="5" operator="equal">
      <formula>"Fin Close"</formula>
    </cfRule>
  </conditionalFormatting>
  <conditionalFormatting sqref="J3:P3">
    <cfRule type="cellIs" dxfId="146" priority="3" operator="equal">
      <formula>"PPA ext."</formula>
    </cfRule>
    <cfRule type="cellIs" dxfId="145" priority="4" operator="equal">
      <formula>"Delay"</formula>
    </cfRule>
  </conditionalFormatting>
  <conditionalFormatting sqref="F2">
    <cfRule type="cellIs" dxfId="144" priority="1" stopIfTrue="1" operator="notEqual">
      <formula>0</formula>
    </cfRule>
    <cfRule type="cellIs" dxfId="143"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777343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77734375" bestFit="1" customWidth="1"/>
    <col min="61" max="61" width="12.33203125" bestFit="1" customWidth="1"/>
    <col min="62" max="62" width="12.21875" bestFit="1" customWidth="1"/>
    <col min="63" max="69" width="12.44140625" bestFit="1" customWidth="1"/>
    <col min="70" max="70" width="15.109375" hidden="1" customWidth="1"/>
    <col min="71" max="16384" width="15.109375" hidden="1"/>
  </cols>
  <sheetData>
    <row r="1" spans="1:69" s="73" customFormat="1" ht="25">
      <c r="A1" s="46" t="str">
        <f ca="1" xml:space="preserve"> RIGHT(CELL("filename", A1), LEN(CELL("filename", A1)) - SEARCH("]", CELL("filename", A1)))</f>
        <v>Income Statement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Income!J$18</f>
        <v>18000</v>
      </c>
      <c r="K8" s="10">
        <f ca="1" xml:space="preserve"> Income!K$18</f>
        <v>30000</v>
      </c>
      <c r="L8" s="10">
        <f ca="1" xml:space="preserve"> Income!L$18</f>
        <v>42000</v>
      </c>
      <c r="M8" s="10">
        <f ca="1" xml:space="preserve"> Income!M$18</f>
        <v>54000</v>
      </c>
      <c r="N8" s="10">
        <f ca="1" xml:space="preserve"> Income!N$18</f>
        <v>66000</v>
      </c>
      <c r="O8" s="10">
        <f ca="1" xml:space="preserve"> Income!O$18</f>
        <v>90000</v>
      </c>
      <c r="P8" s="10">
        <f ca="1" xml:space="preserve"> Income!P$18</f>
        <v>138000</v>
      </c>
      <c r="Q8" s="10">
        <f ca="1" xml:space="preserve"> Income!Q$18</f>
        <v>174000</v>
      </c>
      <c r="R8" s="10">
        <f ca="1" xml:space="preserve"> Income!R$18</f>
        <v>210000</v>
      </c>
      <c r="S8" s="10">
        <f ca="1" xml:space="preserve"> Income!S$18</f>
        <v>210000</v>
      </c>
      <c r="T8" s="10">
        <f ca="1" xml:space="preserve"> Income!T$18</f>
        <v>330000</v>
      </c>
      <c r="U8" s="10">
        <f ca="1" xml:space="preserve"> Income!U$18</f>
        <v>330000</v>
      </c>
      <c r="V8" s="10">
        <f ca="1" xml:space="preserve"> Income!V$18</f>
        <v>450000</v>
      </c>
      <c r="W8" s="10">
        <f ca="1" xml:space="preserve"> Income!W$18</f>
        <v>537567.78566155769</v>
      </c>
      <c r="X8" s="10">
        <f ca="1" xml:space="preserve"> Income!X$18</f>
        <v>570000</v>
      </c>
      <c r="Y8" s="10">
        <f ca="1" xml:space="preserve"> Income!Y$18</f>
        <v>676267.93546028342</v>
      </c>
      <c r="Z8" s="10">
        <f ca="1" xml:space="preserve"> Income!Z$18</f>
        <v>690000</v>
      </c>
      <c r="AA8" s="10">
        <f ca="1" xml:space="preserve"> Income!AA$18</f>
        <v>690000</v>
      </c>
      <c r="AB8" s="10">
        <f ca="1" xml:space="preserve"> Income!AB$18</f>
        <v>690000</v>
      </c>
      <c r="AC8" s="10">
        <f ca="1" xml:space="preserve"> Income!AC$18</f>
        <v>690000</v>
      </c>
      <c r="AD8" s="10">
        <f ca="1" xml:space="preserve"> Income!AD$18</f>
        <v>690000</v>
      </c>
      <c r="AE8" s="10">
        <f ca="1" xml:space="preserve"> Income!AE$18</f>
        <v>690000</v>
      </c>
      <c r="AF8" s="10">
        <f ca="1" xml:space="preserve"> Income!AF$18</f>
        <v>750000</v>
      </c>
      <c r="AG8" s="10">
        <f ca="1" xml:space="preserve"> Income!AG$18</f>
        <v>810000</v>
      </c>
      <c r="AH8" s="10">
        <f ca="1" xml:space="preserve"> Income!AH$18</f>
        <v>858000</v>
      </c>
      <c r="AI8" s="10">
        <f ca="1" xml:space="preserve"> Income!AI$18</f>
        <v>966000</v>
      </c>
      <c r="AJ8" s="10">
        <f ca="1" xml:space="preserve"> Income!AJ$18</f>
        <v>1074000</v>
      </c>
      <c r="AK8" s="10">
        <f ca="1" xml:space="preserve"> Income!AK$18</f>
        <v>1122000</v>
      </c>
      <c r="AL8" s="10">
        <f ca="1" xml:space="preserve"> Income!AL$18</f>
        <v>1206000</v>
      </c>
      <c r="AM8" s="10">
        <f ca="1" xml:space="preserve"> Income!AM$18</f>
        <v>1290000</v>
      </c>
      <c r="AN8" s="10">
        <f ca="1" xml:space="preserve"> Income!AN$18</f>
        <v>1374000</v>
      </c>
      <c r="AO8" s="10">
        <f ca="1" xml:space="preserve"> Income!AO$18</f>
        <v>1434000</v>
      </c>
      <c r="AP8" s="10">
        <f ca="1" xml:space="preserve"> Income!AP$18</f>
        <v>1554000</v>
      </c>
      <c r="AQ8" s="10">
        <f ca="1" xml:space="preserve"> Income!AQ$18</f>
        <v>1614000</v>
      </c>
      <c r="AR8" s="10">
        <f ca="1" xml:space="preserve"> Income!AR$18</f>
        <v>1734000</v>
      </c>
      <c r="AS8" s="10">
        <f ca="1" xml:space="preserve"> Income!AS$18</f>
        <v>1854000</v>
      </c>
      <c r="AT8" s="10">
        <f ca="1" xml:space="preserve"> Income!AT$18</f>
        <v>1970432.2143384423</v>
      </c>
      <c r="AU8" s="10">
        <f ca="1" xml:space="preserve"> Income!AU$18</f>
        <v>2143084.4914398799</v>
      </c>
      <c r="AV8" s="10">
        <f ca="1" xml:space="preserve"> Income!AV$18</f>
        <v>2311732.0645397166</v>
      </c>
      <c r="AW8" s="10">
        <f ca="1" xml:space="preserve"> Income!AW$18</f>
        <v>2476136.8015460242</v>
      </c>
      <c r="AX8" s="10">
        <f ca="1" xml:space="preserve"> Income!AX$18</f>
        <v>2696046.4102958222</v>
      </c>
      <c r="AY8" s="10">
        <f ca="1" xml:space="preserve"> Income!AY$18</f>
        <v>2851193.5965534365</v>
      </c>
      <c r="AZ8" s="10">
        <f ca="1" xml:space="preserve"> Income!AZ$18</f>
        <v>3061295.1719408361</v>
      </c>
      <c r="BA8" s="10">
        <f ca="1" xml:space="preserve"> Income!BA$18</f>
        <v>3326051.1088227443</v>
      </c>
      <c r="BB8" s="10">
        <f ca="1" xml:space="preserve"> Income!BB$18</f>
        <v>3525143.5389922983</v>
      </c>
      <c r="BC8" s="10">
        <f ca="1" xml:space="preserve"> Income!BC$18</f>
        <v>3778235.6928154575</v>
      </c>
      <c r="BD8" s="10">
        <f ca="1" xml:space="preserve"> Income!BD$18</f>
        <v>4024970.7752936548</v>
      </c>
      <c r="BE8" s="10">
        <f ca="1" xml:space="preserve"> Income!BE$18</f>
        <v>4324970.7752936548</v>
      </c>
      <c r="BF8" s="10">
        <f ca="1" xml:space="preserve"> Income!BF$18</f>
        <v>4607035.2039705394</v>
      </c>
      <c r="BG8" s="10">
        <f ca="1" xml:space="preserve"> Income!BG$18</f>
        <v>4881539.7581734145</v>
      </c>
      <c r="BH8" s="10">
        <f ca="1" xml:space="preserve"> Income!BH$18</f>
        <v>5208034.9043730879</v>
      </c>
      <c r="BI8" s="10">
        <f ca="1" xml:space="preserve"> Income!BI$18</f>
        <v>5526044.3783857031</v>
      </c>
      <c r="BJ8" s="10">
        <f ca="1" xml:space="preserve"> Income!BJ$18</f>
        <v>5873463.5958852991</v>
      </c>
      <c r="BK8" s="10">
        <f ca="1" xml:space="preserve"> Income!BK$18</f>
        <v>6211357.9684005277</v>
      </c>
      <c r="BL8" s="10">
        <f ca="1" xml:space="preserve"> Income!BL$18</f>
        <v>6599161.1191753261</v>
      </c>
      <c r="BM8" s="10">
        <f ca="1" xml:space="preserve"> Income!BM$18</f>
        <v>6954672.9929391425</v>
      </c>
      <c r="BN8" s="10">
        <f ca="1" xml:space="preserve"> Income!BN$18</f>
        <v>7358857.8532782504</v>
      </c>
      <c r="BO8" s="10">
        <f ca="1" xml:space="preserve"> Income!BO$18</f>
        <v>7811042.1609245688</v>
      </c>
      <c r="BP8" s="10">
        <f ca="1" xml:space="preserve"> Income!BP$18</f>
        <v>8250512.3258809634</v>
      </c>
      <c r="BQ8" s="10">
        <f ca="1" xml:space="preserve"> Income!BQ$18</f>
        <v>8736512.3258809634</v>
      </c>
    </row>
    <row r="9" spans="1:6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Expense!J$27</f>
        <v>-14400</v>
      </c>
      <c r="K9" s="10">
        <f ca="1">Expense!K$27</f>
        <v>-14400</v>
      </c>
      <c r="L9" s="10">
        <f ca="1">Expense!L$27</f>
        <v>-14400</v>
      </c>
      <c r="M9" s="10">
        <f ca="1">Expense!M$27</f>
        <v>-14400</v>
      </c>
      <c r="N9" s="10">
        <f ca="1">Expense!N$27</f>
        <v>-43200</v>
      </c>
      <c r="O9" s="10">
        <f ca="1">Expense!O$27</f>
        <v>-43200</v>
      </c>
      <c r="P9" s="10">
        <f ca="1">Expense!P$27</f>
        <v>-43200</v>
      </c>
      <c r="Q9" s="10">
        <f ca="1">Expense!Q$27</f>
        <v>-72000</v>
      </c>
      <c r="R9" s="10">
        <f ca="1">Expense!R$27</f>
        <v>-72000</v>
      </c>
      <c r="S9" s="10">
        <f ca="1">Expense!S$27</f>
        <v>-72000</v>
      </c>
      <c r="T9" s="10">
        <f ca="1">Expense!T$27</f>
        <v>-72000</v>
      </c>
      <c r="U9" s="10">
        <f ca="1">Expense!U$27</f>
        <v>-72000</v>
      </c>
      <c r="V9" s="10">
        <f ca="1">Expense!V$27</f>
        <v>-76281.342793869262</v>
      </c>
      <c r="W9" s="10">
        <f ca="1">Expense!W$27</f>
        <v>-80817.267478274865</v>
      </c>
      <c r="X9" s="10">
        <f ca="1">Expense!X$27</f>
        <v>-85622.912280195917</v>
      </c>
      <c r="Y9" s="10">
        <f ca="1">Expense!Y$27</f>
        <v>-90714.315592430881</v>
      </c>
      <c r="Z9" s="10">
        <f ca="1">Expense!Z$27</f>
        <v>-96108.469500242471</v>
      </c>
      <c r="AA9" s="10">
        <f ca="1">Expense!AA$27</f>
        <v>-101823.37649086284</v>
      </c>
      <c r="AB9" s="10">
        <f ca="1">Expense!AB$27</f>
        <v>-107878.10953512107</v>
      </c>
      <c r="AC9" s="10">
        <f ca="1">Expense!AC$27</f>
        <v>-114292.87574171038</v>
      </c>
      <c r="AD9" s="10">
        <f ca="1">Expense!AD$27</f>
        <v>-121089.08379653491</v>
      </c>
      <c r="AE9" s="10">
        <f ca="1">Expense!AE$27</f>
        <v>-128289.41541220888</v>
      </c>
      <c r="AF9" s="10">
        <f ca="1">Expense!AF$27</f>
        <v>-135917.90102616389</v>
      </c>
      <c r="AG9" s="10">
        <f ca="1">Expense!AG$27</f>
        <v>-144000.00000000006</v>
      </c>
      <c r="AH9" s="10">
        <f ca="1">Expense!AH$27</f>
        <v>-165522.68558773852</v>
      </c>
      <c r="AI9" s="10">
        <f ca="1">Expense!AI$27</f>
        <v>-174594.53495654973</v>
      </c>
      <c r="AJ9" s="10">
        <f ca="1">Expense!AJ$27</f>
        <v>-184205.82456039186</v>
      </c>
      <c r="AK9" s="10">
        <f ca="1">Expense!AK$27</f>
        <v>-194388.63118486182</v>
      </c>
      <c r="AL9" s="10">
        <f ca="1">Expense!AL$27</f>
        <v>-231096.93900048506</v>
      </c>
      <c r="AM9" s="10">
        <f ca="1">Expense!AM$27</f>
        <v>-242526.75298172582</v>
      </c>
      <c r="AN9" s="10">
        <f ca="1">Expense!AN$27</f>
        <v>-254636.21907024231</v>
      </c>
      <c r="AO9" s="10">
        <f ca="1">Expense!AO$27</f>
        <v>-293385.75148342084</v>
      </c>
      <c r="AP9" s="10">
        <f ca="1">Expense!AP$27</f>
        <v>-306978.16759306996</v>
      </c>
      <c r="AQ9" s="10">
        <f ca="1">Expense!AQ$27</f>
        <v>-321378.83082441788</v>
      </c>
      <c r="AR9" s="10">
        <f ca="1">Expense!AR$27</f>
        <v>-336635.8020523279</v>
      </c>
      <c r="AS9" s="10">
        <f ca="1">Expense!AS$27</f>
        <v>-352800.00000000017</v>
      </c>
      <c r="AT9" s="10">
        <f ca="1">Expense!AT$27</f>
        <v>-373778.57968995959</v>
      </c>
      <c r="AU9" s="10">
        <f ca="1">Expense!AU$27</f>
        <v>-396004.61064354703</v>
      </c>
      <c r="AV9" s="10">
        <f ca="1">Expense!AV$27</f>
        <v>-419552.27017296036</v>
      </c>
      <c r="AW9" s="10">
        <f ca="1">Expense!AW$27</f>
        <v>-444500.14640291157</v>
      </c>
      <c r="AX9" s="10">
        <f ca="1">Expense!AX$27</f>
        <v>-470931.5005511886</v>
      </c>
      <c r="AY9" s="10">
        <f ca="1">Expense!AY$27</f>
        <v>-498934.54480522836</v>
      </c>
      <c r="AZ9" s="10">
        <f ca="1">Expense!AZ$27</f>
        <v>-528602.73672209377</v>
      </c>
      <c r="BA9" s="10">
        <f ca="1">Expense!BA$27</f>
        <v>-560035.09113438136</v>
      </c>
      <c r="BB9" s="10">
        <f ca="1">Expense!BB$27</f>
        <v>-593336.5106030216</v>
      </c>
      <c r="BC9" s="10">
        <f ca="1">Expense!BC$27</f>
        <v>-628618.13551982399</v>
      </c>
      <c r="BD9" s="10">
        <f ca="1">Expense!BD$27</f>
        <v>-665997.71502820356</v>
      </c>
      <c r="BE9" s="10">
        <f ca="1">Expense!BE$27</f>
        <v>-705600.00000000081</v>
      </c>
      <c r="BF9" s="10">
        <f ca="1">Expense!BF$27</f>
        <v>-747557.15937991964</v>
      </c>
      <c r="BG9" s="10">
        <f ca="1">Expense!BG$27</f>
        <v>-792009.22128709464</v>
      </c>
      <c r="BH9" s="10">
        <f ca="1">Expense!BH$27</f>
        <v>-839104.54034592106</v>
      </c>
      <c r="BI9" s="10">
        <f ca="1">Expense!BI$27</f>
        <v>-889000.29280582373</v>
      </c>
      <c r="BJ9" s="10">
        <f ca="1">Expense!BJ$27</f>
        <v>-941863.00110237754</v>
      </c>
      <c r="BK9" s="10">
        <f ca="1">Expense!BK$27</f>
        <v>-997869.08961045707</v>
      </c>
      <c r="BL9" s="10">
        <f ca="1">Expense!BL$27</f>
        <v>-1057205.473444188</v>
      </c>
      <c r="BM9" s="10">
        <f ca="1">Expense!BM$27</f>
        <v>-1120070.1822687634</v>
      </c>
      <c r="BN9" s="10">
        <f ca="1">Expense!BN$27</f>
        <v>-1186673.0212060437</v>
      </c>
      <c r="BO9" s="10">
        <f ca="1">Expense!BO$27</f>
        <v>-1257236.2710396487</v>
      </c>
      <c r="BP9" s="10">
        <f ca="1">Expense!BP$27</f>
        <v>-1331995.430056408</v>
      </c>
      <c r="BQ9" s="10">
        <f ca="1">Expense!BQ$27</f>
        <v>-1411200.0000000023</v>
      </c>
    </row>
    <row r="10" spans="1:6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Expense!J$20</f>
        <v>-45000</v>
      </c>
      <c r="K10" s="10">
        <f>Expense!K$20</f>
        <v>-45000</v>
      </c>
      <c r="L10" s="10">
        <f>Expense!L$20</f>
        <v>-45000</v>
      </c>
      <c r="M10" s="10">
        <f>Expense!M$20</f>
        <v>-46094.142332421929</v>
      </c>
      <c r="N10" s="10">
        <f>Expense!N$20</f>
        <v>-46094.142332421929</v>
      </c>
      <c r="O10" s="10">
        <f>Expense!O$20</f>
        <v>-46094.142332421929</v>
      </c>
      <c r="P10" s="10">
        <f>Expense!P$20</f>
        <v>-47214.887941368259</v>
      </c>
      <c r="Q10" s="10">
        <f>Expense!Q$20</f>
        <v>-47214.887941368259</v>
      </c>
      <c r="R10" s="10">
        <f>Expense!R$20</f>
        <v>-47214.887941368259</v>
      </c>
      <c r="S10" s="10">
        <f>Expense!S$20</f>
        <v>-48362.883666195121</v>
      </c>
      <c r="T10" s="10">
        <f>Expense!T$20</f>
        <v>-48362.883666195121</v>
      </c>
      <c r="U10" s="10">
        <f>Expense!U$20</f>
        <v>-48362.883666195121</v>
      </c>
      <c r="V10" s="10">
        <f>Expense!V$20</f>
        <v>-49500.000000000007</v>
      </c>
      <c r="W10" s="10">
        <f>Expense!W$20</f>
        <v>-49500.000000000007</v>
      </c>
      <c r="X10" s="10">
        <f>Expense!X$20</f>
        <v>-49500.000000000007</v>
      </c>
      <c r="Y10" s="10">
        <f>Expense!Y$20</f>
        <v>-50708.501394855797</v>
      </c>
      <c r="Z10" s="10">
        <f>Expense!Z$20</f>
        <v>-50708.501394855797</v>
      </c>
      <c r="AA10" s="10">
        <f>Expense!AA$20</f>
        <v>-50708.501394855797</v>
      </c>
      <c r="AB10" s="10">
        <f>Expense!AB$20</f>
        <v>-51939.73483307648</v>
      </c>
      <c r="AC10" s="10">
        <f>Expense!AC$20</f>
        <v>-51939.73483307648</v>
      </c>
      <c r="AD10" s="10">
        <f>Expense!AD$20</f>
        <v>-51939.73483307648</v>
      </c>
      <c r="AE10" s="10">
        <f>Expense!AE$20</f>
        <v>-53204.926698313757</v>
      </c>
      <c r="AF10" s="10">
        <f>Expense!AF$20</f>
        <v>-53204.926698313757</v>
      </c>
      <c r="AG10" s="10">
        <f>Expense!AG$20</f>
        <v>-53204.926698313757</v>
      </c>
      <c r="AH10" s="10">
        <f>Expense!AH$20</f>
        <v>-54454.735278236491</v>
      </c>
      <c r="AI10" s="10">
        <f>Expense!AI$20</f>
        <v>-54454.735278236491</v>
      </c>
      <c r="AJ10" s="10">
        <f>Expense!AJ$20</f>
        <v>-54454.735278236491</v>
      </c>
      <c r="AK10" s="10">
        <f>Expense!AK$20</f>
        <v>-55777.540025685339</v>
      </c>
      <c r="AL10" s="10">
        <f>Expense!AL$20</f>
        <v>-55777.540025685339</v>
      </c>
      <c r="AM10" s="10">
        <f>Expense!AM$20</f>
        <v>-55777.540025685339</v>
      </c>
      <c r="AN10" s="10">
        <f>Expense!AN$20</f>
        <v>-57132.478110867487</v>
      </c>
      <c r="AO10" s="10">
        <f>Expense!AO$20</f>
        <v>-57132.478110867487</v>
      </c>
      <c r="AP10" s="10">
        <f>Expense!AP$20</f>
        <v>-57132.478110867487</v>
      </c>
      <c r="AQ10" s="10">
        <f>Expense!AQ$20</f>
        <v>-58523.837854155172</v>
      </c>
      <c r="AR10" s="10">
        <f>Expense!AR$20</f>
        <v>-58523.837854155172</v>
      </c>
      <c r="AS10" s="10">
        <f>Expense!AS$20</f>
        <v>-58523.837854155172</v>
      </c>
      <c r="AT10" s="10">
        <f>Expense!AT$20</f>
        <v>-59898.907453406857</v>
      </c>
      <c r="AU10" s="10">
        <f>Expense!AU$20</f>
        <v>-59898.907453406857</v>
      </c>
      <c r="AV10" s="10">
        <f>Expense!AV$20</f>
        <v>-59898.907453406857</v>
      </c>
      <c r="AW10" s="10">
        <f>Expense!AW$20</f>
        <v>-61354.297040832636</v>
      </c>
      <c r="AX10" s="10">
        <f>Expense!AX$20</f>
        <v>-61354.297040832636</v>
      </c>
      <c r="AY10" s="10">
        <f>Expense!AY$20</f>
        <v>-61354.297040832636</v>
      </c>
      <c r="AZ10" s="10">
        <f>Expense!AZ$20</f>
        <v>-62845.048856740366</v>
      </c>
      <c r="BA10" s="10">
        <f>Expense!BA$20</f>
        <v>-62845.048856740366</v>
      </c>
      <c r="BB10" s="10">
        <f>Expense!BB$20</f>
        <v>-62845.048856740366</v>
      </c>
      <c r="BC10" s="10">
        <f>Expense!BC$20</f>
        <v>-64375.177481826024</v>
      </c>
      <c r="BD10" s="10">
        <f>Expense!BD$20</f>
        <v>-64375.177481826024</v>
      </c>
      <c r="BE10" s="10">
        <f>Expense!BE$20</f>
        <v>-64375.177481826024</v>
      </c>
      <c r="BF10" s="10">
        <f>Expense!BF$20</f>
        <v>-65887.939007352761</v>
      </c>
      <c r="BG10" s="10">
        <f>Expense!BG$20</f>
        <v>-65887.939007352761</v>
      </c>
      <c r="BH10" s="10">
        <f>Expense!BH$20</f>
        <v>-65887.939007352761</v>
      </c>
      <c r="BI10" s="10">
        <f>Expense!BI$20</f>
        <v>-67489.068501538102</v>
      </c>
      <c r="BJ10" s="10">
        <f>Expense!BJ$20</f>
        <v>-67489.068501538102</v>
      </c>
      <c r="BK10" s="10">
        <f>Expense!BK$20</f>
        <v>-67489.068501538102</v>
      </c>
      <c r="BL10" s="10">
        <f>Expense!BL$20</f>
        <v>-69129.106720078344</v>
      </c>
      <c r="BM10" s="10">
        <f>Expense!BM$20</f>
        <v>-69129.106720078344</v>
      </c>
      <c r="BN10" s="10">
        <f>Expense!BN$20</f>
        <v>-69129.106720078344</v>
      </c>
      <c r="BO10" s="10">
        <f>Expense!BO$20</f>
        <v>-70797.285038834758</v>
      </c>
      <c r="BP10" s="10">
        <f>Expense!BP$20</f>
        <v>-70797.285038834758</v>
      </c>
      <c r="BQ10" s="10">
        <f>Expense!BQ$20</f>
        <v>-70797.285038834758</v>
      </c>
    </row>
    <row r="11" spans="1:69">
      <c r="E11" s="12" t="s">
        <v>179</v>
      </c>
      <c r="F11" s="30"/>
      <c r="G11" s="12" t="s">
        <v>258</v>
      </c>
      <c r="H11" s="56">
        <f ca="1" xml:space="preserve"> SUM( J11:BQ11 )</f>
        <v>113048430.72279143</v>
      </c>
      <c r="I11" s="30"/>
      <c r="J11" s="12">
        <f t="shared" ref="J11:BQ11" ca="1" si="0" xml:space="preserve"> SUM( J8:J10 )</f>
        <v>-41400</v>
      </c>
      <c r="K11" s="12">
        <f t="shared" ca="1" si="0"/>
        <v>-29400</v>
      </c>
      <c r="L11" s="12">
        <f t="shared" ca="1" si="0"/>
        <v>-17400</v>
      </c>
      <c r="M11" s="12">
        <f t="shared" ca="1" si="0"/>
        <v>-6494.1423324219286</v>
      </c>
      <c r="N11" s="12">
        <f t="shared" ca="1" si="0"/>
        <v>-23294.142332421929</v>
      </c>
      <c r="O11" s="12">
        <f t="shared" ca="1" si="0"/>
        <v>705.85766757807141</v>
      </c>
      <c r="P11" s="12">
        <f t="shared" ca="1" si="0"/>
        <v>47585.112058631741</v>
      </c>
      <c r="Q11" s="12">
        <f t="shared" ca="1" si="0"/>
        <v>54785.112058631741</v>
      </c>
      <c r="R11" s="12">
        <f t="shared" ca="1" si="0"/>
        <v>90785.112058631741</v>
      </c>
      <c r="S11" s="12">
        <f t="shared" ca="1" si="0"/>
        <v>89637.116333804879</v>
      </c>
      <c r="T11" s="12">
        <f t="shared" ca="1" si="0"/>
        <v>209637.11633380488</v>
      </c>
      <c r="U11" s="12">
        <f t="shared" ca="1" si="0"/>
        <v>209637.11633380488</v>
      </c>
      <c r="V11" s="12">
        <f t="shared" ca="1" si="0"/>
        <v>324218.65720613074</v>
      </c>
      <c r="W11" s="12">
        <f t="shared" ca="1" si="0"/>
        <v>407250.51818328281</v>
      </c>
      <c r="X11" s="12">
        <f t="shared" ca="1" si="0"/>
        <v>434877.08771980408</v>
      </c>
      <c r="Y11" s="12">
        <f t="shared" ca="1" si="0"/>
        <v>534845.11847299675</v>
      </c>
      <c r="Z11" s="12">
        <f t="shared" ca="1" si="0"/>
        <v>543183.02910490171</v>
      </c>
      <c r="AA11" s="12">
        <f t="shared" ca="1" si="0"/>
        <v>537468.1221142814</v>
      </c>
      <c r="AB11" s="12">
        <f t="shared" ca="1" si="0"/>
        <v>530182.15563180239</v>
      </c>
      <c r="AC11" s="12">
        <f t="shared" ca="1" si="0"/>
        <v>523767.3894252131</v>
      </c>
      <c r="AD11" s="12">
        <f t="shared" ca="1" si="0"/>
        <v>516971.1813703886</v>
      </c>
      <c r="AE11" s="12">
        <f t="shared" ca="1" si="0"/>
        <v>508505.65788947738</v>
      </c>
      <c r="AF11" s="12">
        <f t="shared" ca="1" si="0"/>
        <v>560877.17227552226</v>
      </c>
      <c r="AG11" s="12">
        <f t="shared" ca="1" si="0"/>
        <v>612795.07330168621</v>
      </c>
      <c r="AH11" s="12">
        <f t="shared" ca="1" si="0"/>
        <v>638022.57913402503</v>
      </c>
      <c r="AI11" s="12">
        <f t="shared" ca="1" si="0"/>
        <v>736950.72976521379</v>
      </c>
      <c r="AJ11" s="12">
        <f t="shared" ca="1" si="0"/>
        <v>835339.44016137172</v>
      </c>
      <c r="AK11" s="12">
        <f t="shared" ca="1" si="0"/>
        <v>871833.82878945291</v>
      </c>
      <c r="AL11" s="12">
        <f t="shared" ca="1" si="0"/>
        <v>919125.52097382967</v>
      </c>
      <c r="AM11" s="12">
        <f t="shared" ca="1" si="0"/>
        <v>991695.70699258882</v>
      </c>
      <c r="AN11" s="12">
        <f t="shared" ca="1" si="0"/>
        <v>1062231.3028188902</v>
      </c>
      <c r="AO11" s="12">
        <f t="shared" ca="1" si="0"/>
        <v>1083481.7704057116</v>
      </c>
      <c r="AP11" s="12">
        <f t="shared" ca="1" si="0"/>
        <v>1189889.3542960626</v>
      </c>
      <c r="AQ11" s="12">
        <f t="shared" ca="1" si="0"/>
        <v>1234097.3313214269</v>
      </c>
      <c r="AR11" s="12">
        <f t="shared" ca="1" si="0"/>
        <v>1338840.360093517</v>
      </c>
      <c r="AS11" s="12">
        <f t="shared" ca="1" si="0"/>
        <v>1442676.1621458447</v>
      </c>
      <c r="AT11" s="12">
        <f t="shared" ca="1" si="0"/>
        <v>1536754.7271950759</v>
      </c>
      <c r="AU11" s="12">
        <f t="shared" ca="1" si="0"/>
        <v>1687180.973342926</v>
      </c>
      <c r="AV11" s="12">
        <f t="shared" ca="1" si="0"/>
        <v>1832280.8869133494</v>
      </c>
      <c r="AW11" s="12">
        <f t="shared" ca="1" si="0"/>
        <v>1970282.3581022799</v>
      </c>
      <c r="AX11" s="12">
        <f t="shared" ca="1" si="0"/>
        <v>2163760.6127038007</v>
      </c>
      <c r="AY11" s="12">
        <f t="shared" ca="1" si="0"/>
        <v>2290904.7547073755</v>
      </c>
      <c r="AZ11" s="12">
        <f t="shared" ca="1" si="0"/>
        <v>2469847.3863620018</v>
      </c>
      <c r="BA11" s="12">
        <f t="shared" ca="1" si="0"/>
        <v>2703170.9688316225</v>
      </c>
      <c r="BB11" s="12">
        <f t="shared" ca="1" si="0"/>
        <v>2868961.9795325366</v>
      </c>
      <c r="BC11" s="12">
        <f t="shared" ca="1" si="0"/>
        <v>3085242.3798138076</v>
      </c>
      <c r="BD11" s="12">
        <f t="shared" ca="1" si="0"/>
        <v>3294597.8827836253</v>
      </c>
      <c r="BE11" s="12">
        <f t="shared" ca="1" si="0"/>
        <v>3554995.5978118279</v>
      </c>
      <c r="BF11" s="12">
        <f t="shared" ca="1" si="0"/>
        <v>3793590.1055832673</v>
      </c>
      <c r="BG11" s="12">
        <f t="shared" ca="1" si="0"/>
        <v>4023642.5978789674</v>
      </c>
      <c r="BH11" s="12">
        <f t="shared" ca="1" si="0"/>
        <v>4303042.4250198137</v>
      </c>
      <c r="BI11" s="12">
        <f t="shared" ca="1" si="0"/>
        <v>4569555.0170783419</v>
      </c>
      <c r="BJ11" s="12">
        <f t="shared" ca="1" si="0"/>
        <v>4864111.5262813838</v>
      </c>
      <c r="BK11" s="12">
        <f t="shared" ca="1" si="0"/>
        <v>5145999.8102885326</v>
      </c>
      <c r="BL11" s="12">
        <f t="shared" ca="1" si="0"/>
        <v>5472826.5390110593</v>
      </c>
      <c r="BM11" s="12">
        <f t="shared" ca="1" si="0"/>
        <v>5765473.7039503008</v>
      </c>
      <c r="BN11" s="12">
        <f t="shared" ca="1" si="0"/>
        <v>6103055.725352128</v>
      </c>
      <c r="BO11" s="12">
        <f t="shared" ca="1" si="0"/>
        <v>6483008.6048460854</v>
      </c>
      <c r="BP11" s="12">
        <f t="shared" ca="1" si="0"/>
        <v>6847719.6107857209</v>
      </c>
      <c r="BQ11" s="12">
        <f t="shared" ca="1" si="0"/>
        <v>7254515.0408421271</v>
      </c>
    </row>
    <row r="13" spans="1:6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Assets!J$14</f>
        <v>7291.666666666667</v>
      </c>
      <c r="K13" s="10">
        <f ca="1">Assets!K$14</f>
        <v>0</v>
      </c>
      <c r="L13" s="10">
        <f ca="1">Assets!L$14</f>
        <v>14583.333333333334</v>
      </c>
      <c r="M13" s="10">
        <f ca="1">Assets!M$14</f>
        <v>14583.333333333334</v>
      </c>
      <c r="N13" s="10">
        <f ca="1">Assets!N$14</f>
        <v>14583.333333333334</v>
      </c>
      <c r="O13" s="10">
        <f ca="1">Assets!O$14</f>
        <v>-14583.333333333334</v>
      </c>
      <c r="P13" s="10">
        <f ca="1">Assets!P$14</f>
        <v>0</v>
      </c>
      <c r="Q13" s="10">
        <f ca="1">Assets!Q$14</f>
        <v>-14583.333333333334</v>
      </c>
      <c r="R13" s="10">
        <f ca="1">Assets!R$14</f>
        <v>0</v>
      </c>
      <c r="S13" s="10">
        <f ca="1">Assets!S$14</f>
        <v>-29166.666666666668</v>
      </c>
      <c r="T13" s="10">
        <f ca="1">Assets!T$14</f>
        <v>-29166.666666666668</v>
      </c>
      <c r="U13" s="10">
        <f ca="1">Assets!U$14</f>
        <v>-43750</v>
      </c>
      <c r="V13" s="10">
        <f ca="1">Assets!V$14</f>
        <v>-58333.333333333336</v>
      </c>
      <c r="W13" s="10">
        <f ca="1">Assets!W$14</f>
        <v>-58333.333333333336</v>
      </c>
      <c r="X13" s="10">
        <f ca="1">Assets!X$14</f>
        <v>-72916.666666666672</v>
      </c>
      <c r="Y13" s="10">
        <f ca="1">Assets!Y$14</f>
        <v>-65625</v>
      </c>
      <c r="Z13" s="10">
        <f ca="1">Assets!Z$14</f>
        <v>-65625</v>
      </c>
      <c r="AA13" s="10">
        <f ca="1">Assets!AA$14</f>
        <v>-65625</v>
      </c>
      <c r="AB13" s="10">
        <f ca="1">Assets!AB$14</f>
        <v>-58333.333333333336</v>
      </c>
      <c r="AC13" s="10">
        <f ca="1">Assets!AC$14</f>
        <v>-58333.333333333336</v>
      </c>
      <c r="AD13" s="10">
        <f ca="1">Assets!AD$14</f>
        <v>-65625</v>
      </c>
      <c r="AE13" s="10">
        <f ca="1">Assets!AE$14</f>
        <v>-65625</v>
      </c>
      <c r="AF13" s="10">
        <f ca="1">Assets!AF$14</f>
        <v>-72916.666666666672</v>
      </c>
      <c r="AG13" s="10">
        <f ca="1">Assets!AG$14</f>
        <v>-80208.333333333328</v>
      </c>
      <c r="AH13" s="10">
        <f ca="1">Assets!AH$14</f>
        <v>-94791.666666666672</v>
      </c>
      <c r="AI13" s="10">
        <f ca="1">Assets!AI$14</f>
        <v>-100625</v>
      </c>
      <c r="AJ13" s="10">
        <f ca="1">Assets!AJ$14</f>
        <v>-113750</v>
      </c>
      <c r="AK13" s="10">
        <f ca="1">Assets!AK$14</f>
        <v>-119583.33333333333</v>
      </c>
      <c r="AL13" s="10">
        <f ca="1">Assets!AL$14</f>
        <v>-132708.33333333334</v>
      </c>
      <c r="AM13" s="10">
        <f ca="1">Assets!AM$14</f>
        <v>-142916.66666666666</v>
      </c>
      <c r="AN13" s="10">
        <f ca="1">Assets!AN$14</f>
        <v>-145833.33333333334</v>
      </c>
      <c r="AO13" s="10">
        <f ca="1">Assets!AO$14</f>
        <v>-163333.33333333334</v>
      </c>
      <c r="AP13" s="10">
        <f ca="1">Assets!AP$14</f>
        <v>-170625</v>
      </c>
      <c r="AQ13" s="10">
        <f ca="1">Assets!AQ$14</f>
        <v>-177916.66666666666</v>
      </c>
      <c r="AR13" s="10">
        <f ca="1">Assets!AR$14</f>
        <v>-199791.66666666666</v>
      </c>
      <c r="AS13" s="10">
        <f ca="1">Assets!AS$14</f>
        <v>-207083.33333333334</v>
      </c>
      <c r="AT13" s="10">
        <f ca="1">Assets!AT$14</f>
        <v>-221666.66666666666</v>
      </c>
      <c r="AU13" s="10">
        <f ca="1">Assets!AU$14</f>
        <v>-250399.74827029681</v>
      </c>
      <c r="AV13" s="10">
        <f ca="1">Assets!AV$14</f>
        <v>-264090.12916804099</v>
      </c>
      <c r="AW13" s="10">
        <f ca="1">Assets!AW$14</f>
        <v>-291877.16062114615</v>
      </c>
      <c r="AX13" s="10">
        <f ca="1">Assets!AX$14</f>
        <v>-304565.23629899602</v>
      </c>
      <c r="AY13" s="10">
        <f ca="1">Assets!AY$14</f>
        <v>-331290.36236233957</v>
      </c>
      <c r="AZ13" s="10">
        <f ca="1">Assets!AZ$14</f>
        <v>-364728.38847003574</v>
      </c>
      <c r="BA13" s="10">
        <f ca="1">Assets!BA$14</f>
        <v>-382969.89936780994</v>
      </c>
      <c r="BB13" s="10">
        <f ca="1">Assets!BB$14</f>
        <v>-415145.10003054171</v>
      </c>
      <c r="BC13" s="10">
        <f ca="1">Assets!BC$14</f>
        <v>-439340.36064142501</v>
      </c>
      <c r="BD13" s="10">
        <f ca="1">Assets!BD$14</f>
        <v>-477389.75433521176</v>
      </c>
      <c r="BE13" s="10">
        <f ca="1">Assets!BE$14</f>
        <v>-507374.92060860369</v>
      </c>
      <c r="BF13" s="10">
        <f ca="1">Assets!BF$14</f>
        <v>-543833.253941937</v>
      </c>
      <c r="BG13" s="10">
        <f ca="1">Assets!BG$14</f>
        <v>-578111.91714919731</v>
      </c>
      <c r="BH13" s="10">
        <f ca="1">Assets!BH$14</f>
        <v>-611471.84561135236</v>
      </c>
      <c r="BI13" s="10">
        <f ca="1">Assets!BI$14</f>
        <v>-658441.74185089592</v>
      </c>
      <c r="BJ13" s="10">
        <f ca="1">Assets!BJ$14</f>
        <v>-697088.72653992905</v>
      </c>
      <c r="BK13" s="10">
        <f ca="1">Assets!BK$14</f>
        <v>-739309.81199994951</v>
      </c>
      <c r="BL13" s="10">
        <f ca="1">Assets!BL$14</f>
        <v>-780373.36421534186</v>
      </c>
      <c r="BM13" s="10">
        <f ca="1">Assets!BM$14</f>
        <v>-834793.88601089024</v>
      </c>
      <c r="BN13" s="10">
        <f ca="1">Assets!BN$14</f>
        <v>-877998.45400302054</v>
      </c>
      <c r="BO13" s="10">
        <f ca="1">Assets!BO$14</f>
        <v>-934409.80855812039</v>
      </c>
      <c r="BP13" s="10">
        <f ca="1">Assets!BP$14</f>
        <v>-982071.0959456939</v>
      </c>
      <c r="BQ13" s="10">
        <f ca="1">Assets!BQ$14</f>
        <v>-1050062.2618258111</v>
      </c>
    </row>
    <row r="14" spans="1:69">
      <c r="E14" s="12" t="s">
        <v>63</v>
      </c>
      <c r="F14" s="30"/>
      <c r="G14" s="12" t="s">
        <v>258</v>
      </c>
      <c r="H14" s="56">
        <f ca="1" xml:space="preserve"> SUM( J14:BQ14 )</f>
        <v>96872960.16163148</v>
      </c>
      <c r="I14" s="30"/>
      <c r="J14" s="12">
        <f t="shared" ref="J14:BQ14" ca="1" si="1" xml:space="preserve"> J11 + J13</f>
        <v>-34108.333333333336</v>
      </c>
      <c r="K14" s="12">
        <f t="shared" ca="1" si="1"/>
        <v>-29400</v>
      </c>
      <c r="L14" s="12">
        <f t="shared" ca="1" si="1"/>
        <v>-2816.6666666666661</v>
      </c>
      <c r="M14" s="12">
        <f t="shared" ca="1" si="1"/>
        <v>8089.1910009114054</v>
      </c>
      <c r="N14" s="12">
        <f t="shared" ca="1" si="1"/>
        <v>-8710.8089990885946</v>
      </c>
      <c r="O14" s="12">
        <f t="shared" ca="1" si="1"/>
        <v>-13877.475665755263</v>
      </c>
      <c r="P14" s="12">
        <f t="shared" ca="1" si="1"/>
        <v>47585.112058631741</v>
      </c>
      <c r="Q14" s="12">
        <f t="shared" ca="1" si="1"/>
        <v>40201.778725298405</v>
      </c>
      <c r="R14" s="12">
        <f t="shared" ca="1" si="1"/>
        <v>90785.112058631741</v>
      </c>
      <c r="S14" s="12">
        <f t="shared" ca="1" si="1"/>
        <v>60470.449667138208</v>
      </c>
      <c r="T14" s="12">
        <f t="shared" ca="1" si="1"/>
        <v>180470.44966713822</v>
      </c>
      <c r="U14" s="12">
        <f t="shared" ca="1" si="1"/>
        <v>165887.11633380488</v>
      </c>
      <c r="V14" s="12">
        <f t="shared" ca="1" si="1"/>
        <v>265885.32387279742</v>
      </c>
      <c r="W14" s="12">
        <f t="shared" ca="1" si="1"/>
        <v>348917.1848499495</v>
      </c>
      <c r="X14" s="12">
        <f t="shared" ca="1" si="1"/>
        <v>361960.4210531374</v>
      </c>
      <c r="Y14" s="12">
        <f t="shared" ca="1" si="1"/>
        <v>469220.11847299675</v>
      </c>
      <c r="Z14" s="12">
        <f t="shared" ca="1" si="1"/>
        <v>477558.02910490171</v>
      </c>
      <c r="AA14" s="12">
        <f t="shared" ca="1" si="1"/>
        <v>471843.1221142814</v>
      </c>
      <c r="AB14" s="12">
        <f t="shared" ca="1" si="1"/>
        <v>471848.82229846908</v>
      </c>
      <c r="AC14" s="12">
        <f t="shared" ca="1" si="1"/>
        <v>465434.05609187979</v>
      </c>
      <c r="AD14" s="12">
        <f t="shared" ca="1" si="1"/>
        <v>451346.1813703886</v>
      </c>
      <c r="AE14" s="12">
        <f t="shared" ca="1" si="1"/>
        <v>442880.65788947738</v>
      </c>
      <c r="AF14" s="12">
        <f t="shared" ca="1" si="1"/>
        <v>487960.50560885557</v>
      </c>
      <c r="AG14" s="12">
        <f t="shared" ca="1" si="1"/>
        <v>532586.73996835283</v>
      </c>
      <c r="AH14" s="12">
        <f t="shared" ca="1" si="1"/>
        <v>543230.9124673584</v>
      </c>
      <c r="AI14" s="12">
        <f t="shared" ca="1" si="1"/>
        <v>636325.72976521379</v>
      </c>
      <c r="AJ14" s="12">
        <f t="shared" ca="1" si="1"/>
        <v>721589.44016137172</v>
      </c>
      <c r="AK14" s="12">
        <f t="shared" ca="1" si="1"/>
        <v>752250.49545611953</v>
      </c>
      <c r="AL14" s="12">
        <f t="shared" ca="1" si="1"/>
        <v>786417.1876404963</v>
      </c>
      <c r="AM14" s="12">
        <f t="shared" ca="1" si="1"/>
        <v>848779.04032592219</v>
      </c>
      <c r="AN14" s="12">
        <f t="shared" ca="1" si="1"/>
        <v>916397.96948555682</v>
      </c>
      <c r="AO14" s="12">
        <f t="shared" ca="1" si="1"/>
        <v>920148.43707237823</v>
      </c>
      <c r="AP14" s="12">
        <f t="shared" ca="1" si="1"/>
        <v>1019264.3542960626</v>
      </c>
      <c r="AQ14" s="12">
        <f t="shared" ca="1" si="1"/>
        <v>1056180.6646547602</v>
      </c>
      <c r="AR14" s="12">
        <f t="shared" ca="1" si="1"/>
        <v>1139048.6934268503</v>
      </c>
      <c r="AS14" s="12">
        <f t="shared" ca="1" si="1"/>
        <v>1235592.8288125114</v>
      </c>
      <c r="AT14" s="12">
        <f t="shared" ca="1" si="1"/>
        <v>1315088.0605284092</v>
      </c>
      <c r="AU14" s="12">
        <f t="shared" ca="1" si="1"/>
        <v>1436781.2250726293</v>
      </c>
      <c r="AV14" s="12">
        <f t="shared" ca="1" si="1"/>
        <v>1568190.7577453083</v>
      </c>
      <c r="AW14" s="12">
        <f t="shared" ca="1" si="1"/>
        <v>1678405.1974811337</v>
      </c>
      <c r="AX14" s="12">
        <f t="shared" ca="1" si="1"/>
        <v>1859195.3764048046</v>
      </c>
      <c r="AY14" s="12">
        <f t="shared" ca="1" si="1"/>
        <v>1959614.3923450359</v>
      </c>
      <c r="AZ14" s="12">
        <f t="shared" ca="1" si="1"/>
        <v>2105118.9978919663</v>
      </c>
      <c r="BA14" s="12">
        <f t="shared" ca="1" si="1"/>
        <v>2320201.0694638127</v>
      </c>
      <c r="BB14" s="12">
        <f t="shared" ca="1" si="1"/>
        <v>2453816.8795019947</v>
      </c>
      <c r="BC14" s="12">
        <f t="shared" ca="1" si="1"/>
        <v>2645902.0191723825</v>
      </c>
      <c r="BD14" s="12">
        <f t="shared" ca="1" si="1"/>
        <v>2817208.1284484137</v>
      </c>
      <c r="BE14" s="12">
        <f t="shared" ca="1" si="1"/>
        <v>3047620.677203224</v>
      </c>
      <c r="BF14" s="12">
        <f t="shared" ca="1" si="1"/>
        <v>3249756.8516413304</v>
      </c>
      <c r="BG14" s="12">
        <f t="shared" ca="1" si="1"/>
        <v>3445530.6807297701</v>
      </c>
      <c r="BH14" s="12">
        <f t="shared" ca="1" si="1"/>
        <v>3691570.5794084612</v>
      </c>
      <c r="BI14" s="12">
        <f t="shared" ca="1" si="1"/>
        <v>3911113.2752274461</v>
      </c>
      <c r="BJ14" s="12">
        <f t="shared" ca="1" si="1"/>
        <v>4167022.7997414549</v>
      </c>
      <c r="BK14" s="12">
        <f t="shared" ca="1" si="1"/>
        <v>4406689.998288583</v>
      </c>
      <c r="BL14" s="12">
        <f t="shared" ca="1" si="1"/>
        <v>4692453.174795717</v>
      </c>
      <c r="BM14" s="12">
        <f t="shared" ca="1" si="1"/>
        <v>4930679.8179394109</v>
      </c>
      <c r="BN14" s="12">
        <f t="shared" ca="1" si="1"/>
        <v>5225057.2713491078</v>
      </c>
      <c r="BO14" s="12">
        <f t="shared" ca="1" si="1"/>
        <v>5548598.796287965</v>
      </c>
      <c r="BP14" s="12">
        <f t="shared" ca="1" si="1"/>
        <v>5865648.5148400273</v>
      </c>
      <c r="BQ14" s="12">
        <f t="shared" ca="1" si="1"/>
        <v>6204452.7790163159</v>
      </c>
    </row>
    <row r="16" spans="1:6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'Supply Chain finance'!J$42</f>
        <v>0</v>
      </c>
      <c r="K16" s="10">
        <f ca="1">'Supply Chain finance'!K$42</f>
        <v>0</v>
      </c>
      <c r="L16" s="10">
        <f ca="1">'Supply Chain finance'!L$42</f>
        <v>0</v>
      </c>
      <c r="M16" s="10">
        <f ca="1">'Supply Chain finance'!M$42</f>
        <v>-1866.6666666666667</v>
      </c>
      <c r="N16" s="10">
        <f ca="1">'Supply Chain finance'!N$42</f>
        <v>-3733.3333333333335</v>
      </c>
      <c r="O16" s="10">
        <f ca="1">'Supply Chain finance'!O$42</f>
        <v>-5600</v>
      </c>
      <c r="P16" s="10">
        <f ca="1">'Supply Chain finance'!P$42</f>
        <v>-5600</v>
      </c>
      <c r="Q16" s="10">
        <f ca="1">'Supply Chain finance'!Q$42</f>
        <v>-7466.666666666667</v>
      </c>
      <c r="R16" s="10">
        <f ca="1">'Supply Chain finance'!R$42</f>
        <v>-7466.666666666667</v>
      </c>
      <c r="S16" s="10">
        <f ca="1">'Supply Chain finance'!S$42</f>
        <v>-7466.666666666667</v>
      </c>
      <c r="T16" s="10">
        <f ca="1">'Supply Chain finance'!T$42</f>
        <v>-5600</v>
      </c>
      <c r="U16" s="10">
        <f ca="1">'Supply Chain finance'!U$42</f>
        <v>-3733.3333333333335</v>
      </c>
      <c r="V16" s="10">
        <f ca="1">'Supply Chain finance'!V$42</f>
        <v>-3733.3333333333335</v>
      </c>
      <c r="W16" s="10">
        <f ca="1">'Supply Chain finance'!W$42</f>
        <v>-1866.6666666666667</v>
      </c>
      <c r="X16" s="10">
        <f ca="1">'Supply Chain finance'!X$42</f>
        <v>-1866.6666666666667</v>
      </c>
      <c r="Y16" s="10">
        <f ca="1">'Supply Chain finance'!Y$42</f>
        <v>0</v>
      </c>
      <c r="Z16" s="10">
        <f ca="1">'Supply Chain finance'!Z$42</f>
        <v>-933.33333333333337</v>
      </c>
      <c r="AA16" s="10">
        <f ca="1">'Supply Chain finance'!AA$42</f>
        <v>-1866.6666666666667</v>
      </c>
      <c r="AB16" s="10">
        <f ca="1">'Supply Chain finance'!AB$42</f>
        <v>-2800</v>
      </c>
      <c r="AC16" s="10">
        <f ca="1">'Supply Chain finance'!AC$42</f>
        <v>-4666.666666666667</v>
      </c>
      <c r="AD16" s="10">
        <f ca="1">'Supply Chain finance'!AD$42</f>
        <v>-6533.3333333333339</v>
      </c>
      <c r="AE16" s="10">
        <f ca="1">'Supply Chain finance'!AE$42</f>
        <v>-7466.666666666667</v>
      </c>
      <c r="AF16" s="10">
        <f ca="1">'Supply Chain finance'!AF$42</f>
        <v>-8400</v>
      </c>
      <c r="AG16" s="10">
        <f ca="1">'Supply Chain finance'!AG$42</f>
        <v>-9333.3333333333339</v>
      </c>
      <c r="AH16" s="10">
        <f ca="1">'Supply Chain finance'!AH$42</f>
        <v>-10266.666666666668</v>
      </c>
      <c r="AI16" s="10">
        <f ca="1">'Supply Chain finance'!AI$42</f>
        <v>-10266.666666666668</v>
      </c>
      <c r="AJ16" s="10">
        <f ca="1">'Supply Chain finance'!AJ$42</f>
        <v>-11200</v>
      </c>
      <c r="AK16" s="10">
        <f ca="1">'Supply Chain finance'!AK$42</f>
        <v>-10266.666666666668</v>
      </c>
      <c r="AL16" s="10">
        <f ca="1">'Supply Chain finance'!AL$42</f>
        <v>-8400</v>
      </c>
      <c r="AM16" s="10">
        <f ca="1">'Supply Chain finance'!AM$42</f>
        <v>-6533.3333333333339</v>
      </c>
      <c r="AN16" s="10">
        <f ca="1">'Supply Chain finance'!AN$42</f>
        <v>-4666.666666666667</v>
      </c>
      <c r="AO16" s="10">
        <f ca="1">'Supply Chain finance'!AO$42</f>
        <v>-2800</v>
      </c>
      <c r="AP16" s="10">
        <f ca="1">'Supply Chain finance'!AP$42</f>
        <v>0</v>
      </c>
      <c r="AQ16" s="10">
        <f ca="1">'Supply Chain finance'!AQ$42</f>
        <v>0</v>
      </c>
      <c r="AR16" s="10">
        <f ca="1">'Supply Chain finance'!AR$42</f>
        <v>0</v>
      </c>
      <c r="AS16" s="10">
        <f ca="1">'Supply Chain finance'!AS$42</f>
        <v>0</v>
      </c>
      <c r="AT16" s="10">
        <f ca="1">'Supply Chain finance'!AT$42</f>
        <v>0</v>
      </c>
      <c r="AU16" s="10">
        <f ca="1">'Supply Chain finance'!AU$42</f>
        <v>0</v>
      </c>
      <c r="AV16" s="10">
        <f ca="1">'Supply Chain finance'!AV$42</f>
        <v>0</v>
      </c>
      <c r="AW16" s="10">
        <f ca="1">'Supply Chain finance'!AW$42</f>
        <v>0</v>
      </c>
      <c r="AX16" s="10">
        <f ca="1">'Supply Chain finance'!AX$42</f>
        <v>0</v>
      </c>
      <c r="AY16" s="10">
        <f ca="1">'Supply Chain finance'!AY$42</f>
        <v>0</v>
      </c>
      <c r="AZ16" s="10">
        <f ca="1">'Supply Chain finance'!AZ$42</f>
        <v>0</v>
      </c>
      <c r="BA16" s="10">
        <f ca="1">'Supply Chain finance'!BA$42</f>
        <v>0</v>
      </c>
      <c r="BB16" s="10">
        <f ca="1">'Supply Chain finance'!BB$42</f>
        <v>0</v>
      </c>
      <c r="BC16" s="10">
        <f ca="1">'Supply Chain finance'!BC$42</f>
        <v>0</v>
      </c>
      <c r="BD16" s="10">
        <f ca="1">'Supply Chain finance'!BD$42</f>
        <v>0</v>
      </c>
      <c r="BE16" s="10">
        <f ca="1">'Supply Chain finance'!BE$42</f>
        <v>0</v>
      </c>
      <c r="BF16" s="10">
        <f ca="1">'Supply Chain finance'!BF$42</f>
        <v>0</v>
      </c>
      <c r="BG16" s="10">
        <f ca="1">'Supply Chain finance'!BG$42</f>
        <v>0</v>
      </c>
      <c r="BH16" s="10">
        <f ca="1">'Supply Chain finance'!BH$42</f>
        <v>0</v>
      </c>
      <c r="BI16" s="10">
        <f ca="1">'Supply Chain finance'!BI$42</f>
        <v>0</v>
      </c>
      <c r="BJ16" s="10">
        <f ca="1">'Supply Chain finance'!BJ$42</f>
        <v>0</v>
      </c>
      <c r="BK16" s="10">
        <f ca="1">'Supply Chain finance'!BK$42</f>
        <v>0</v>
      </c>
      <c r="BL16" s="10">
        <f ca="1">'Supply Chain finance'!BL$42</f>
        <v>0</v>
      </c>
      <c r="BM16" s="10">
        <f ca="1">'Supply Chain finance'!BM$42</f>
        <v>0</v>
      </c>
      <c r="BN16" s="10">
        <f ca="1">'Supply Chain finance'!BN$42</f>
        <v>0</v>
      </c>
      <c r="BO16" s="10">
        <f ca="1">'Supply Chain finance'!BO$42</f>
        <v>0</v>
      </c>
      <c r="BP16" s="10">
        <f ca="1">'Supply Chain finance'!BP$42</f>
        <v>0</v>
      </c>
      <c r="BQ16" s="10">
        <f ca="1">'Supply Chain finance'!BQ$42</f>
        <v>0</v>
      </c>
    </row>
    <row r="17" spans="5:6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'Invoice finance'!J$41</f>
        <v>0</v>
      </c>
      <c r="K17" s="10">
        <f ca="1">'Invoice finance'!K$41</f>
        <v>0</v>
      </c>
      <c r="L17" s="10">
        <f ca="1">'Invoice finance'!L$41</f>
        <v>-225</v>
      </c>
      <c r="M17" s="10">
        <f ca="1">'Invoice finance'!M$41</f>
        <v>-540</v>
      </c>
      <c r="N17" s="10">
        <f ca="1">'Invoice finance'!N$41</f>
        <v>-720</v>
      </c>
      <c r="O17" s="10">
        <f ca="1">'Invoice finance'!O$41</f>
        <v>-900</v>
      </c>
      <c r="P17" s="10">
        <f ca="1">'Invoice finance'!P$41</f>
        <v>-1170</v>
      </c>
      <c r="Q17" s="10">
        <f ca="1">'Invoice finance'!Q$41</f>
        <v>-1710</v>
      </c>
      <c r="R17" s="10">
        <f ca="1">'Invoice finance'!R$41</f>
        <v>-2340</v>
      </c>
      <c r="S17" s="10">
        <f ca="1">'Invoice finance'!S$41</f>
        <v>-2880</v>
      </c>
      <c r="T17" s="10">
        <f ca="1">'Invoice finance'!T$41</f>
        <v>-3150</v>
      </c>
      <c r="U17" s="10">
        <f ca="1">'Invoice finance'!U$41</f>
        <v>-4050</v>
      </c>
      <c r="V17" s="10">
        <f ca="1">'Invoice finance'!V$41</f>
        <v>-4950</v>
      </c>
      <c r="W17" s="10">
        <f ca="1">'Invoice finance'!W$41</f>
        <v>-5850</v>
      </c>
      <c r="X17" s="10">
        <f ca="1">'Invoice finance'!X$41</f>
        <v>-7406.758392461682</v>
      </c>
      <c r="Y17" s="10">
        <f ca="1">'Invoice finance'!Y$41</f>
        <v>-8306.7583924616829</v>
      </c>
      <c r="Z17" s="10">
        <f ca="1">'Invoice finance'!Z$41</f>
        <v>-9347.0095159521261</v>
      </c>
      <c r="AA17" s="10">
        <f ca="1">'Invoice finance'!AA$41</f>
        <v>-10247.009515952126</v>
      </c>
      <c r="AB17" s="10">
        <f ca="1">'Invoice finance'!AB$41</f>
        <v>-10350</v>
      </c>
      <c r="AC17" s="10">
        <f ca="1">'Invoice finance'!AC$41</f>
        <v>-10350</v>
      </c>
      <c r="AD17" s="10">
        <f ca="1">'Invoice finance'!AD$41</f>
        <v>-10350</v>
      </c>
      <c r="AE17" s="10">
        <f ca="1">'Invoice finance'!AE$41</f>
        <v>-10350</v>
      </c>
      <c r="AF17" s="10">
        <f ca="1">'Invoice finance'!AF$41</f>
        <v>-10350</v>
      </c>
      <c r="AG17" s="10">
        <f ca="1">'Invoice finance'!AG$41</f>
        <v>-10800</v>
      </c>
      <c r="AH17" s="10">
        <f ca="1">'Invoice finance'!AH$41</f>
        <v>-11700</v>
      </c>
      <c r="AI17" s="10">
        <f ca="1">'Invoice finance'!AI$41</f>
        <v>-12510</v>
      </c>
      <c r="AJ17" s="10">
        <f ca="1">'Invoice finance'!AJ$41</f>
        <v>-13680</v>
      </c>
      <c r="AK17" s="10">
        <f ca="1">'Invoice finance'!AK$41</f>
        <v>-7245</v>
      </c>
      <c r="AL17" s="10">
        <f ca="1">'Invoice finance'!AL$41</f>
        <v>0</v>
      </c>
      <c r="AM17" s="10">
        <f ca="1">'Invoice finance'!AM$41</f>
        <v>0</v>
      </c>
      <c r="AN17" s="10">
        <f ca="1">'Invoice finance'!AN$41</f>
        <v>0</v>
      </c>
      <c r="AO17" s="10">
        <f ca="1">'Invoice finance'!AO$41</f>
        <v>0</v>
      </c>
      <c r="AP17" s="10">
        <f ca="1">'Invoice finance'!AP$41</f>
        <v>0</v>
      </c>
      <c r="AQ17" s="10">
        <f ca="1">'Invoice finance'!AQ$41</f>
        <v>0</v>
      </c>
      <c r="AR17" s="10">
        <f ca="1">'Invoice finance'!AR$41</f>
        <v>0</v>
      </c>
      <c r="AS17" s="10">
        <f ca="1">'Invoice finance'!AS$41</f>
        <v>0</v>
      </c>
      <c r="AT17" s="10">
        <f ca="1">'Invoice finance'!AT$41</f>
        <v>0</v>
      </c>
      <c r="AU17" s="10">
        <f ca="1">'Invoice finance'!AU$41</f>
        <v>0</v>
      </c>
      <c r="AV17" s="10">
        <f ca="1">'Invoice finance'!AV$41</f>
        <v>0</v>
      </c>
      <c r="AW17" s="10">
        <f ca="1">'Invoice finance'!AW$41</f>
        <v>0</v>
      </c>
      <c r="AX17" s="10">
        <f ca="1">'Invoice finance'!AX$41</f>
        <v>0</v>
      </c>
      <c r="AY17" s="10">
        <f ca="1">'Invoice finance'!AY$41</f>
        <v>0</v>
      </c>
      <c r="AZ17" s="10">
        <f ca="1">'Invoice finance'!AZ$41</f>
        <v>0</v>
      </c>
      <c r="BA17" s="10">
        <f ca="1">'Invoice finance'!BA$41</f>
        <v>0</v>
      </c>
      <c r="BB17" s="10">
        <f ca="1">'Invoice finance'!BB$41</f>
        <v>0</v>
      </c>
      <c r="BC17" s="10">
        <f ca="1">'Invoice finance'!BC$41</f>
        <v>0</v>
      </c>
      <c r="BD17" s="10">
        <f ca="1">'Invoice finance'!BD$41</f>
        <v>0</v>
      </c>
      <c r="BE17" s="10">
        <f ca="1">'Invoice finance'!BE$41</f>
        <v>0</v>
      </c>
      <c r="BF17" s="10">
        <f ca="1">'Invoice finance'!BF$41</f>
        <v>0</v>
      </c>
      <c r="BG17" s="10">
        <f ca="1">'Invoice finance'!BG$41</f>
        <v>0</v>
      </c>
      <c r="BH17" s="10">
        <f ca="1">'Invoice finance'!BH$41</f>
        <v>0</v>
      </c>
      <c r="BI17" s="10">
        <f ca="1">'Invoice finance'!BI$41</f>
        <v>0</v>
      </c>
      <c r="BJ17" s="10">
        <f ca="1">'Invoice finance'!BJ$41</f>
        <v>0</v>
      </c>
      <c r="BK17" s="10">
        <f ca="1">'Invoice finance'!BK$41</f>
        <v>0</v>
      </c>
      <c r="BL17" s="10">
        <f ca="1">'Invoice finance'!BL$41</f>
        <v>0</v>
      </c>
      <c r="BM17" s="10">
        <f ca="1">'Invoice finance'!BM$41</f>
        <v>0</v>
      </c>
      <c r="BN17" s="10">
        <f ca="1">'Invoice finance'!BN$41</f>
        <v>0</v>
      </c>
      <c r="BO17" s="10">
        <f ca="1">'Invoice finance'!BO$41</f>
        <v>0</v>
      </c>
      <c r="BP17" s="10">
        <f ca="1">'Invoice finance'!BP$41</f>
        <v>0</v>
      </c>
      <c r="BQ17" s="10">
        <f ca="1">'Invoice finance'!BQ$41</f>
        <v>0</v>
      </c>
    </row>
    <row r="18" spans="5:6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'Asset Finance'!J$42</f>
        <v>0</v>
      </c>
      <c r="K18" s="10">
        <f ca="1">'Asset Finance'!K$42</f>
        <v>0</v>
      </c>
      <c r="L18" s="10">
        <f ca="1">'Asset Finance'!L$42</f>
        <v>-1166.6666666666667</v>
      </c>
      <c r="M18" s="10">
        <f ca="1">'Asset Finance'!M$42</f>
        <v>-1118.0555555555557</v>
      </c>
      <c r="N18" s="10">
        <f ca="1">'Asset Finance'!N$42</f>
        <v>-1071.4699074074076</v>
      </c>
      <c r="O18" s="10">
        <f ca="1">'Asset Finance'!O$42</f>
        <v>-1026.8253279320988</v>
      </c>
      <c r="P18" s="10">
        <f ca="1">'Asset Finance'!P$42</f>
        <v>-3317.3742726015948</v>
      </c>
      <c r="Q18" s="10">
        <f ca="1">'Asset Finance'!Q$42</f>
        <v>-3179.1503445765284</v>
      </c>
      <c r="R18" s="10">
        <f ca="1">'Asset Finance'!R$42</f>
        <v>-3046.6857468858398</v>
      </c>
      <c r="S18" s="10">
        <f ca="1">'Asset Finance'!S$42</f>
        <v>-2919.7405074322633</v>
      </c>
      <c r="T18" s="10">
        <f ca="1">'Asset Finance'!T$42</f>
        <v>-5131.4179862892524</v>
      </c>
      <c r="U18" s="10">
        <f ca="1">'Asset Finance'!U$42</f>
        <v>-4917.6089035272007</v>
      </c>
      <c r="V18" s="10">
        <f ca="1">'Asset Finance'!V$42</f>
        <v>-7046.0418658802355</v>
      </c>
      <c r="W18" s="10">
        <f ca="1">'Asset Finance'!W$42</f>
        <v>-9085.7901214685589</v>
      </c>
      <c r="X18" s="10">
        <f ca="1">'Asset Finance'!X$42</f>
        <v>-8707.2155330740352</v>
      </c>
      <c r="Y18" s="10">
        <f ca="1">'Asset Finance'!Y$42</f>
        <v>-10677.748219195952</v>
      </c>
      <c r="Z18" s="10">
        <f ca="1">'Asset Finance'!Z$42</f>
        <v>-10232.84204339612</v>
      </c>
      <c r="AA18" s="10">
        <f ca="1">'Asset Finance'!AA$42</f>
        <v>-9806.473624921282</v>
      </c>
      <c r="AB18" s="10">
        <f ca="1">'Asset Finance'!AB$42</f>
        <v>-9397.8705572162271</v>
      </c>
      <c r="AC18" s="10">
        <f ca="1">'Asset Finance'!AC$42</f>
        <v>-9006.2926173322194</v>
      </c>
      <c r="AD18" s="10">
        <f ca="1">'Asset Finance'!AD$42</f>
        <v>-8631.0304249433757</v>
      </c>
      <c r="AE18" s="10">
        <f ca="1">'Asset Finance'!AE$42</f>
        <v>-8271.4041572374026</v>
      </c>
      <c r="AF18" s="10">
        <f ca="1">'Asset Finance'!AF$42</f>
        <v>-9093.4289840191759</v>
      </c>
      <c r="AG18" s="10">
        <f ca="1">'Asset Finance'!AG$42</f>
        <v>-9881.2027763517108</v>
      </c>
      <c r="AH18" s="10">
        <f ca="1">'Asset Finance'!AH$42</f>
        <v>-10636.15266067039</v>
      </c>
      <c r="AI18" s="10">
        <f ca="1">'Asset Finance'!AI$42</f>
        <v>-10192.979633142457</v>
      </c>
      <c r="AJ18" s="10">
        <f ca="1">'Asset Finance'!AJ$42</f>
        <v>-9768.2721484281883</v>
      </c>
      <c r="AK18" s="10">
        <f ca="1">'Asset Finance'!AK$42</f>
        <v>-9361.2608089103469</v>
      </c>
      <c r="AL18" s="10">
        <f ca="1">'Asset Finance'!AL$42</f>
        <v>-8971.2082752057486</v>
      </c>
      <c r="AM18" s="10">
        <f ca="1">'Asset Finance'!AM$42</f>
        <v>-8597.4079304055085</v>
      </c>
      <c r="AN18" s="10">
        <f ca="1">'Asset Finance'!AN$42</f>
        <v>-8239.1825999719458</v>
      </c>
      <c r="AO18" s="10">
        <f ca="1">'Asset Finance'!AO$42</f>
        <v>-7895.8833249731151</v>
      </c>
      <c r="AP18" s="10">
        <f ca="1">'Asset Finance'!AP$42</f>
        <v>-7566.8881864325695</v>
      </c>
      <c r="AQ18" s="10">
        <f ca="1">'Asset Finance'!AQ$42</f>
        <v>-7251.6011786645449</v>
      </c>
      <c r="AR18" s="10">
        <f ca="1">'Asset Finance'!AR$42</f>
        <v>-6949.4511295535222</v>
      </c>
      <c r="AS18" s="10">
        <f ca="1">'Asset Finance'!AS$42</f>
        <v>-6659.8906658221258</v>
      </c>
      <c r="AT18" s="10">
        <f ca="1">'Asset Finance'!AT$42</f>
        <v>-6382.3952214128703</v>
      </c>
      <c r="AU18" s="10">
        <f ca="1">'Asset Finance'!AU$42</f>
        <v>-6116.462087187334</v>
      </c>
      <c r="AV18" s="10">
        <f ca="1">'Asset Finance'!AV$42</f>
        <v>-5861.609500221195</v>
      </c>
      <c r="AW18" s="10">
        <f ca="1">'Asset Finance'!AW$42</f>
        <v>-5617.3757710453119</v>
      </c>
      <c r="AX18" s="10">
        <f ca="1">'Asset Finance'!AX$42</f>
        <v>-5383.3184472517569</v>
      </c>
      <c r="AY18" s="10">
        <f ca="1">'Asset Finance'!AY$42</f>
        <v>-5159.0135119496008</v>
      </c>
      <c r="AZ18" s="10">
        <f ca="1">'Asset Finance'!AZ$42</f>
        <v>-4944.0546156183682</v>
      </c>
      <c r="BA18" s="10">
        <f ca="1">'Asset Finance'!BA$42</f>
        <v>-4738.0523399676031</v>
      </c>
      <c r="BB18" s="10">
        <f ca="1">'Asset Finance'!BB$42</f>
        <v>-4540.6334924689527</v>
      </c>
      <c r="BC18" s="10">
        <f ca="1">'Asset Finance'!BC$42</f>
        <v>-4351.440430282747</v>
      </c>
      <c r="BD18" s="10">
        <f ca="1">'Asset Finance'!BD$42</f>
        <v>-4170.1304123542986</v>
      </c>
      <c r="BE18" s="10">
        <f ca="1">'Asset Finance'!BE$42</f>
        <v>-3996.3749785062028</v>
      </c>
      <c r="BF18" s="10">
        <f ca="1">'Asset Finance'!BF$42</f>
        <v>-3829.8593544017776</v>
      </c>
      <c r="BG18" s="10">
        <f ca="1">'Asset Finance'!BG$42</f>
        <v>-3670.2818813017038</v>
      </c>
      <c r="BH18" s="10">
        <f ca="1">'Asset Finance'!BH$42</f>
        <v>-3517.3534695807994</v>
      </c>
      <c r="BI18" s="10">
        <f ca="1">'Asset Finance'!BI$42</f>
        <v>-3370.7970750149325</v>
      </c>
      <c r="BJ18" s="10">
        <f ca="1">'Asset Finance'!BJ$42</f>
        <v>-3230.3471968893105</v>
      </c>
      <c r="BK18" s="10">
        <f ca="1">'Asset Finance'!BK$42</f>
        <v>-3095.7493970189221</v>
      </c>
      <c r="BL18" s="10">
        <f ca="1">'Asset Finance'!BL$42</f>
        <v>-2966.7598388098004</v>
      </c>
      <c r="BM18" s="10">
        <f ca="1">'Asset Finance'!BM$42</f>
        <v>-2843.1448455260588</v>
      </c>
      <c r="BN18" s="10">
        <f ca="1">'Asset Finance'!BN$42</f>
        <v>-2724.6804769624728</v>
      </c>
      <c r="BO18" s="10">
        <f ca="1">'Asset Finance'!BO$42</f>
        <v>-2611.1521237557031</v>
      </c>
      <c r="BP18" s="10">
        <f ca="1">'Asset Finance'!BP$42</f>
        <v>-2502.3541185992153</v>
      </c>
      <c r="BQ18" s="10">
        <f ca="1">'Asset Finance'!BQ$42</f>
        <v>-2398.0893636575815</v>
      </c>
    </row>
    <row r="19" spans="5:69">
      <c r="E19" s="12" t="s">
        <v>180</v>
      </c>
      <c r="F19" s="30"/>
      <c r="G19" s="12" t="s">
        <v>258</v>
      </c>
      <c r="H19" s="56">
        <f ca="1" xml:space="preserve"> SUM( J19:BQ19 )</f>
        <v>96202238.681178764</v>
      </c>
      <c r="I19" s="30"/>
      <c r="J19" s="12">
        <f t="shared" ref="J19:BQ19" ca="1" si="2" xml:space="preserve"> J14 + SUM( J16:J18 )</f>
        <v>-34108.333333333336</v>
      </c>
      <c r="K19" s="12">
        <f t="shared" ca="1" si="2"/>
        <v>-29400</v>
      </c>
      <c r="L19" s="12">
        <f t="shared" ca="1" si="2"/>
        <v>-4208.333333333333</v>
      </c>
      <c r="M19" s="12">
        <f t="shared" ca="1" si="2"/>
        <v>4564.4687786891827</v>
      </c>
      <c r="N19" s="12">
        <f t="shared" ca="1" si="2"/>
        <v>-14235.612239829337</v>
      </c>
      <c r="O19" s="12">
        <f t="shared" ca="1" si="2"/>
        <v>-21404.30099368736</v>
      </c>
      <c r="P19" s="12">
        <f t="shared" ca="1" si="2"/>
        <v>37497.737786030149</v>
      </c>
      <c r="Q19" s="12">
        <f t="shared" ca="1" si="2"/>
        <v>27845.961714055207</v>
      </c>
      <c r="R19" s="12">
        <f t="shared" ca="1" si="2"/>
        <v>77931.759645079233</v>
      </c>
      <c r="S19" s="12">
        <f t="shared" ca="1" si="2"/>
        <v>47204.042493039276</v>
      </c>
      <c r="T19" s="12">
        <f t="shared" ca="1" si="2"/>
        <v>166589.03168084897</v>
      </c>
      <c r="U19" s="12">
        <f t="shared" ca="1" si="2"/>
        <v>153186.17409694433</v>
      </c>
      <c r="V19" s="12">
        <f t="shared" ca="1" si="2"/>
        <v>250155.94867358386</v>
      </c>
      <c r="W19" s="12">
        <f t="shared" ca="1" si="2"/>
        <v>332114.72806181427</v>
      </c>
      <c r="X19" s="12">
        <f t="shared" ca="1" si="2"/>
        <v>343979.78046093503</v>
      </c>
      <c r="Y19" s="12">
        <f t="shared" ca="1" si="2"/>
        <v>450235.61186133913</v>
      </c>
      <c r="Z19" s="12">
        <f t="shared" ca="1" si="2"/>
        <v>457044.84421222011</v>
      </c>
      <c r="AA19" s="12">
        <f t="shared" ca="1" si="2"/>
        <v>449922.97230674134</v>
      </c>
      <c r="AB19" s="12">
        <f t="shared" ca="1" si="2"/>
        <v>449300.95174125285</v>
      </c>
      <c r="AC19" s="12">
        <f t="shared" ca="1" si="2"/>
        <v>441411.09680788091</v>
      </c>
      <c r="AD19" s="12">
        <f t="shared" ca="1" si="2"/>
        <v>425831.81761211192</v>
      </c>
      <c r="AE19" s="12">
        <f t="shared" ca="1" si="2"/>
        <v>416792.58706557332</v>
      </c>
      <c r="AF19" s="12">
        <f t="shared" ca="1" si="2"/>
        <v>460117.07662483642</v>
      </c>
      <c r="AG19" s="12">
        <f t="shared" ca="1" si="2"/>
        <v>502572.20385866781</v>
      </c>
      <c r="AH19" s="12">
        <f t="shared" ca="1" si="2"/>
        <v>510628.09314002132</v>
      </c>
      <c r="AI19" s="12">
        <f t="shared" ca="1" si="2"/>
        <v>603356.08346540469</v>
      </c>
      <c r="AJ19" s="12">
        <f t="shared" ca="1" si="2"/>
        <v>686941.16801294358</v>
      </c>
      <c r="AK19" s="12">
        <f t="shared" ca="1" si="2"/>
        <v>725377.56798054255</v>
      </c>
      <c r="AL19" s="12">
        <f t="shared" ca="1" si="2"/>
        <v>769045.97936529061</v>
      </c>
      <c r="AM19" s="12">
        <f t="shared" ca="1" si="2"/>
        <v>833648.29906218336</v>
      </c>
      <c r="AN19" s="12">
        <f t="shared" ca="1" si="2"/>
        <v>903492.12021891819</v>
      </c>
      <c r="AO19" s="12">
        <f t="shared" ca="1" si="2"/>
        <v>909452.55374740507</v>
      </c>
      <c r="AP19" s="12">
        <f t="shared" ca="1" si="2"/>
        <v>1011697.4661096301</v>
      </c>
      <c r="AQ19" s="12">
        <f t="shared" ca="1" si="2"/>
        <v>1048929.0634760957</v>
      </c>
      <c r="AR19" s="12">
        <f t="shared" ca="1" si="2"/>
        <v>1132099.2422972966</v>
      </c>
      <c r="AS19" s="12">
        <f t="shared" ca="1" si="2"/>
        <v>1228932.9381466892</v>
      </c>
      <c r="AT19" s="12">
        <f t="shared" ca="1" si="2"/>
        <v>1308705.6653069963</v>
      </c>
      <c r="AU19" s="12">
        <f t="shared" ca="1" si="2"/>
        <v>1430664.7629854418</v>
      </c>
      <c r="AV19" s="12">
        <f t="shared" ca="1" si="2"/>
        <v>1562329.1482450871</v>
      </c>
      <c r="AW19" s="12">
        <f t="shared" ca="1" si="2"/>
        <v>1672787.8217100885</v>
      </c>
      <c r="AX19" s="12">
        <f t="shared" ca="1" si="2"/>
        <v>1853812.0579575528</v>
      </c>
      <c r="AY19" s="12">
        <f t="shared" ca="1" si="2"/>
        <v>1954455.3788330862</v>
      </c>
      <c r="AZ19" s="12">
        <f t="shared" ca="1" si="2"/>
        <v>2100174.9432763481</v>
      </c>
      <c r="BA19" s="12">
        <f t="shared" ca="1" si="2"/>
        <v>2315463.0171238449</v>
      </c>
      <c r="BB19" s="12">
        <f t="shared" ca="1" si="2"/>
        <v>2449276.2460095258</v>
      </c>
      <c r="BC19" s="12">
        <f t="shared" ca="1" si="2"/>
        <v>2641550.5787420999</v>
      </c>
      <c r="BD19" s="12">
        <f t="shared" ca="1" si="2"/>
        <v>2813037.9980360596</v>
      </c>
      <c r="BE19" s="12">
        <f t="shared" ca="1" si="2"/>
        <v>3043624.302224718</v>
      </c>
      <c r="BF19" s="12">
        <f t="shared" ca="1" si="2"/>
        <v>3245926.9922869285</v>
      </c>
      <c r="BG19" s="12">
        <f t="shared" ca="1" si="2"/>
        <v>3441860.3988484684</v>
      </c>
      <c r="BH19" s="12">
        <f t="shared" ca="1" si="2"/>
        <v>3688053.2259388804</v>
      </c>
      <c r="BI19" s="12">
        <f t="shared" ca="1" si="2"/>
        <v>3907742.4781524311</v>
      </c>
      <c r="BJ19" s="12">
        <f t="shared" ca="1" si="2"/>
        <v>4163792.4525445658</v>
      </c>
      <c r="BK19" s="12">
        <f t="shared" ca="1" si="2"/>
        <v>4403594.2488915641</v>
      </c>
      <c r="BL19" s="12">
        <f t="shared" ca="1" si="2"/>
        <v>4689486.4149569068</v>
      </c>
      <c r="BM19" s="12">
        <f t="shared" ca="1" si="2"/>
        <v>4927836.6730938852</v>
      </c>
      <c r="BN19" s="12">
        <f t="shared" ca="1" si="2"/>
        <v>5222332.5908721453</v>
      </c>
      <c r="BO19" s="12">
        <f t="shared" ca="1" si="2"/>
        <v>5545987.6441642093</v>
      </c>
      <c r="BP19" s="12">
        <f t="shared" ca="1" si="2"/>
        <v>5863146.1607214278</v>
      </c>
      <c r="BQ19" s="12">
        <f t="shared" ca="1" si="2"/>
        <v>6202054.6896526581</v>
      </c>
    </row>
    <row r="21" spans="5:6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'Corporation tax'!J$48</f>
        <v>0</v>
      </c>
      <c r="K21" s="10">
        <f ca="1">'Corporation tax'!K$48</f>
        <v>0</v>
      </c>
      <c r="L21" s="10">
        <f ca="1">'Corporation tax'!L$48</f>
        <v>0</v>
      </c>
      <c r="M21" s="10">
        <f ca="1">'Corporation tax'!M$48</f>
        <v>0</v>
      </c>
      <c r="N21" s="10">
        <f ca="1">'Corporation tax'!N$48</f>
        <v>0</v>
      </c>
      <c r="O21" s="10">
        <f ca="1">'Corporation tax'!O$48</f>
        <v>0</v>
      </c>
      <c r="P21" s="10">
        <f ca="1">'Corporation tax'!P$48</f>
        <v>0</v>
      </c>
      <c r="Q21" s="10">
        <f ca="1">'Corporation tax'!Q$48</f>
        <v>-5297.5594239995407</v>
      </c>
      <c r="R21" s="10">
        <f ca="1">'Corporation tax'!R$48</f>
        <v>-18157.02241172635</v>
      </c>
      <c r="S21" s="10">
        <f ca="1">'Corporation tax'!S$48</f>
        <v>-17927.423266760976</v>
      </c>
      <c r="T21" s="10">
        <f ca="1">'Corporation tax'!T$48</f>
        <v>-41927.423266760976</v>
      </c>
      <c r="U21" s="10">
        <f ca="1">'Corporation tax'!U$48</f>
        <v>-41927.423266760976</v>
      </c>
      <c r="V21" s="10">
        <f ca="1">'Corporation tax'!V$48</f>
        <v>-64843.731441226148</v>
      </c>
      <c r="W21" s="10">
        <f ca="1">'Corporation tax'!W$48</f>
        <v>-81450.103636656568</v>
      </c>
      <c r="X21" s="10">
        <f ca="1">'Corporation tax'!X$48</f>
        <v>-86975.417543960823</v>
      </c>
      <c r="Y21" s="10">
        <f ca="1">'Corporation tax'!Y$48</f>
        <v>-106969.02369459935</v>
      </c>
      <c r="Z21" s="10">
        <f ca="1">'Corporation tax'!Z$48</f>
        <v>-108636.60582098035</v>
      </c>
      <c r="AA21" s="10">
        <f ca="1">'Corporation tax'!AA$48</f>
        <v>-107493.62442285629</v>
      </c>
      <c r="AB21" s="10">
        <f ca="1">'Corporation tax'!AB$48</f>
        <v>-106036.43112636049</v>
      </c>
      <c r="AC21" s="10">
        <f ca="1">'Corporation tax'!AC$48</f>
        <v>-104753.47788504262</v>
      </c>
      <c r="AD21" s="10">
        <f ca="1">'Corporation tax'!AD$48</f>
        <v>-103394.23627407773</v>
      </c>
      <c r="AE21" s="10">
        <f ca="1">'Corporation tax'!AE$48</f>
        <v>-101701.13157789549</v>
      </c>
      <c r="AF21" s="10">
        <f ca="1">'Corporation tax'!AF$48</f>
        <v>-112175.43445510446</v>
      </c>
      <c r="AG21" s="10">
        <f ca="1">'Corporation tax'!AG$48</f>
        <v>-122559.01466033724</v>
      </c>
      <c r="AH21" s="10">
        <f ca="1">'Corporation tax'!AH$48</f>
        <v>-127604.51582680501</v>
      </c>
      <c r="AI21" s="10">
        <f ca="1">'Corporation tax'!AI$48</f>
        <v>-147390.14595304275</v>
      </c>
      <c r="AJ21" s="10">
        <f ca="1">'Corporation tax'!AJ$48</f>
        <v>-167067.88803227435</v>
      </c>
      <c r="AK21" s="10">
        <f ca="1">'Corporation tax'!AK$48</f>
        <v>-174366.76575789059</v>
      </c>
      <c r="AL21" s="10">
        <f ca="1">'Corporation tax'!AL$48</f>
        <v>-183825.10419476594</v>
      </c>
      <c r="AM21" s="10">
        <f ca="1">'Corporation tax'!AM$48</f>
        <v>-198339.14139851776</v>
      </c>
      <c r="AN21" s="10">
        <f ca="1">'Corporation tax'!AN$48</f>
        <v>-212446.26056377805</v>
      </c>
      <c r="AO21" s="10">
        <f ca="1">'Corporation tax'!AO$48</f>
        <v>-216696.35408114234</v>
      </c>
      <c r="AP21" s="10">
        <f ca="1">'Corporation tax'!AP$48</f>
        <v>-237977.87085921253</v>
      </c>
      <c r="AQ21" s="10">
        <f ca="1">'Corporation tax'!AQ$48</f>
        <v>-246819.46626428538</v>
      </c>
      <c r="AR21" s="10">
        <f ca="1">'Corporation tax'!AR$48</f>
        <v>-267768.07201870339</v>
      </c>
      <c r="AS21" s="10">
        <f ca="1">'Corporation tax'!AS$48</f>
        <v>-288535.23242916894</v>
      </c>
      <c r="AT21" s="10">
        <f ca="1">'Corporation tax'!AT$48</f>
        <v>-307350.94543901522</v>
      </c>
      <c r="AU21" s="10">
        <f ca="1">'Corporation tax'!AU$48</f>
        <v>-337436.1946685852</v>
      </c>
      <c r="AV21" s="10">
        <f ca="1">'Corporation tax'!AV$48</f>
        <v>-366456.17738266988</v>
      </c>
      <c r="AW21" s="10">
        <f ca="1">'Corporation tax'!AW$48</f>
        <v>-394056.47162045602</v>
      </c>
      <c r="AX21" s="10">
        <f ca="1">'Corporation tax'!AX$48</f>
        <v>-432752.12254076015</v>
      </c>
      <c r="AY21" s="10">
        <f ca="1">'Corporation tax'!AY$48</f>
        <v>-458180.95094147511</v>
      </c>
      <c r="AZ21" s="10">
        <f ca="1">'Corporation tax'!AZ$48</f>
        <v>-493969.4772724004</v>
      </c>
      <c r="BA21" s="10">
        <f ca="1">'Corporation tax'!BA$48</f>
        <v>-540634.19376632455</v>
      </c>
      <c r="BB21" s="10">
        <f ca="1">'Corporation tax'!BB$48</f>
        <v>-573792.39590650739</v>
      </c>
      <c r="BC21" s="10">
        <f ca="1">'Corporation tax'!BC$48</f>
        <v>-617048.47596276156</v>
      </c>
      <c r="BD21" s="10">
        <f ca="1">'Corporation tax'!BD$48</f>
        <v>-658919.57655672508</v>
      </c>
      <c r="BE21" s="10">
        <f ca="1">'Corporation tax'!BE$48</f>
        <v>-710999.11956236558</v>
      </c>
      <c r="BF21" s="10">
        <f ca="1">'Corporation tax'!BF$48</f>
        <v>-758718.02111665346</v>
      </c>
      <c r="BG21" s="10">
        <f ca="1">'Corporation tax'!BG$48</f>
        <v>-804728.51957579353</v>
      </c>
      <c r="BH21" s="10">
        <f ca="1">'Corporation tax'!BH$48</f>
        <v>-860608.48500396276</v>
      </c>
      <c r="BI21" s="10">
        <f ca="1">'Corporation tax'!BI$48</f>
        <v>-913911.00341566838</v>
      </c>
      <c r="BJ21" s="10">
        <f ca="1">'Corporation tax'!BJ$48</f>
        <v>-972822.30525627686</v>
      </c>
      <c r="BK21" s="10">
        <f ca="1">'Corporation tax'!BK$48</f>
        <v>-1029199.9620577066</v>
      </c>
      <c r="BL21" s="10">
        <f ca="1">'Corporation tax'!BL$48</f>
        <v>-1094565.307802212</v>
      </c>
      <c r="BM21" s="10">
        <f ca="1">'Corporation tax'!BM$48</f>
        <v>-1153094.7407900603</v>
      </c>
      <c r="BN21" s="10">
        <f ca="1">'Corporation tax'!BN$48</f>
        <v>-1220611.1450704257</v>
      </c>
      <c r="BO21" s="10">
        <f ca="1">'Corporation tax'!BO$48</f>
        <v>-1296601.7209692171</v>
      </c>
      <c r="BP21" s="10">
        <f ca="1">'Corporation tax'!BP$48</f>
        <v>-1369543.9221571442</v>
      </c>
      <c r="BQ21" s="10">
        <f ca="1">'Corporation tax'!BQ$48</f>
        <v>-1450903.0081684254</v>
      </c>
    </row>
    <row r="22" spans="5:69">
      <c r="E22" s="12" t="s">
        <v>37</v>
      </c>
      <c r="F22" s="30"/>
      <c r="G22" s="12" t="s">
        <v>258</v>
      </c>
      <c r="H22" s="56">
        <f ca="1" xml:space="preserve"> SUM( J22:BQ22 )</f>
        <v>73584272.536620528</v>
      </c>
      <c r="I22" s="30"/>
      <c r="J22" s="12">
        <f t="shared" ref="J22:BQ22" ca="1" si="3" xml:space="preserve"> J19 + J21</f>
        <v>-34108.333333333336</v>
      </c>
      <c r="K22" s="12">
        <f t="shared" ca="1" si="3"/>
        <v>-29400</v>
      </c>
      <c r="L22" s="12">
        <f t="shared" ca="1" si="3"/>
        <v>-4208.333333333333</v>
      </c>
      <c r="M22" s="12">
        <f t="shared" ca="1" si="3"/>
        <v>4564.4687786891827</v>
      </c>
      <c r="N22" s="12">
        <f t="shared" ca="1" si="3"/>
        <v>-14235.612239829337</v>
      </c>
      <c r="O22" s="12">
        <f t="shared" ca="1" si="3"/>
        <v>-21404.30099368736</v>
      </c>
      <c r="P22" s="12">
        <f t="shared" ca="1" si="3"/>
        <v>37497.737786030149</v>
      </c>
      <c r="Q22" s="12">
        <f t="shared" ca="1" si="3"/>
        <v>22548.402290055667</v>
      </c>
      <c r="R22" s="12">
        <f t="shared" ca="1" si="3"/>
        <v>59774.737233352884</v>
      </c>
      <c r="S22" s="12">
        <f t="shared" ca="1" si="3"/>
        <v>29276.619226278301</v>
      </c>
      <c r="T22" s="12">
        <f t="shared" ca="1" si="3"/>
        <v>124661.608414088</v>
      </c>
      <c r="U22" s="12">
        <f t="shared" ca="1" si="3"/>
        <v>111258.75083018336</v>
      </c>
      <c r="V22" s="12">
        <f t="shared" ca="1" si="3"/>
        <v>185312.21723235771</v>
      </c>
      <c r="W22" s="12">
        <f t="shared" ca="1" si="3"/>
        <v>250664.6244251577</v>
      </c>
      <c r="X22" s="12">
        <f t="shared" ca="1" si="3"/>
        <v>257004.36291697421</v>
      </c>
      <c r="Y22" s="12">
        <f t="shared" ca="1" si="3"/>
        <v>343266.58816673979</v>
      </c>
      <c r="Z22" s="12">
        <f t="shared" ca="1" si="3"/>
        <v>348408.23839123978</v>
      </c>
      <c r="AA22" s="12">
        <f t="shared" ca="1" si="3"/>
        <v>342429.34788388503</v>
      </c>
      <c r="AB22" s="12">
        <f t="shared" ca="1" si="3"/>
        <v>343264.52061489236</v>
      </c>
      <c r="AC22" s="12">
        <f t="shared" ca="1" si="3"/>
        <v>336657.6189228383</v>
      </c>
      <c r="AD22" s="12">
        <f t="shared" ca="1" si="3"/>
        <v>322437.58133803419</v>
      </c>
      <c r="AE22" s="12">
        <f t="shared" ca="1" si="3"/>
        <v>315091.45548767783</v>
      </c>
      <c r="AF22" s="12">
        <f t="shared" ca="1" si="3"/>
        <v>347941.64216973196</v>
      </c>
      <c r="AG22" s="12">
        <f t="shared" ca="1" si="3"/>
        <v>380013.18919833057</v>
      </c>
      <c r="AH22" s="12">
        <f t="shared" ca="1" si="3"/>
        <v>383023.57731321629</v>
      </c>
      <c r="AI22" s="12">
        <f t="shared" ca="1" si="3"/>
        <v>455965.93751236191</v>
      </c>
      <c r="AJ22" s="12">
        <f t="shared" ca="1" si="3"/>
        <v>519873.27998066926</v>
      </c>
      <c r="AK22" s="12">
        <f t="shared" ca="1" si="3"/>
        <v>551010.8022226519</v>
      </c>
      <c r="AL22" s="12">
        <f t="shared" ca="1" si="3"/>
        <v>585220.8751705247</v>
      </c>
      <c r="AM22" s="12">
        <f t="shared" ca="1" si="3"/>
        <v>635309.1576636656</v>
      </c>
      <c r="AN22" s="12">
        <f t="shared" ca="1" si="3"/>
        <v>691045.8596551402</v>
      </c>
      <c r="AO22" s="12">
        <f t="shared" ca="1" si="3"/>
        <v>692756.19966626272</v>
      </c>
      <c r="AP22" s="12">
        <f t="shared" ca="1" si="3"/>
        <v>773719.59525041748</v>
      </c>
      <c r="AQ22" s="12">
        <f t="shared" ca="1" si="3"/>
        <v>802109.59721181029</v>
      </c>
      <c r="AR22" s="12">
        <f t="shared" ca="1" si="3"/>
        <v>864331.1702785932</v>
      </c>
      <c r="AS22" s="12">
        <f t="shared" ca="1" si="3"/>
        <v>940397.70571752032</v>
      </c>
      <c r="AT22" s="12">
        <f t="shared" ca="1" si="3"/>
        <v>1001354.719867981</v>
      </c>
      <c r="AU22" s="12">
        <f t="shared" ca="1" si="3"/>
        <v>1093228.5683168566</v>
      </c>
      <c r="AV22" s="12">
        <f t="shared" ca="1" si="3"/>
        <v>1195872.9708624172</v>
      </c>
      <c r="AW22" s="12">
        <f t="shared" ca="1" si="3"/>
        <v>1278731.3500896324</v>
      </c>
      <c r="AX22" s="12">
        <f t="shared" ca="1" si="3"/>
        <v>1421059.9354167928</v>
      </c>
      <c r="AY22" s="12">
        <f t="shared" ca="1" si="3"/>
        <v>1496274.4278916111</v>
      </c>
      <c r="AZ22" s="12">
        <f t="shared" ca="1" si="3"/>
        <v>1606205.4660039477</v>
      </c>
      <c r="BA22" s="12">
        <f t="shared" ca="1" si="3"/>
        <v>1774828.8233575204</v>
      </c>
      <c r="BB22" s="12">
        <f t="shared" ca="1" si="3"/>
        <v>1875483.8501030183</v>
      </c>
      <c r="BC22" s="12">
        <f t="shared" ca="1" si="3"/>
        <v>2024502.1027793384</v>
      </c>
      <c r="BD22" s="12">
        <f t="shared" ca="1" si="3"/>
        <v>2154118.4214793346</v>
      </c>
      <c r="BE22" s="12">
        <f t="shared" ca="1" si="3"/>
        <v>2332625.1826623525</v>
      </c>
      <c r="BF22" s="12">
        <f t="shared" ca="1" si="3"/>
        <v>2487208.971170275</v>
      </c>
      <c r="BG22" s="12">
        <f t="shared" ca="1" si="3"/>
        <v>2637131.8792726751</v>
      </c>
      <c r="BH22" s="12">
        <f t="shared" ca="1" si="3"/>
        <v>2827444.7409349177</v>
      </c>
      <c r="BI22" s="12">
        <f t="shared" ca="1" si="3"/>
        <v>2993831.4747367627</v>
      </c>
      <c r="BJ22" s="12">
        <f t="shared" ca="1" si="3"/>
        <v>3190970.1472882889</v>
      </c>
      <c r="BK22" s="12">
        <f t="shared" ca="1" si="3"/>
        <v>3374394.2868338577</v>
      </c>
      <c r="BL22" s="12">
        <f t="shared" ca="1" si="3"/>
        <v>3594921.1071546949</v>
      </c>
      <c r="BM22" s="12">
        <f t="shared" ca="1" si="3"/>
        <v>3774741.9323038249</v>
      </c>
      <c r="BN22" s="12">
        <f t="shared" ca="1" si="3"/>
        <v>4001721.4458017196</v>
      </c>
      <c r="BO22" s="12">
        <f t="shared" ca="1" si="3"/>
        <v>4249385.9231949924</v>
      </c>
      <c r="BP22" s="12">
        <f t="shared" ca="1" si="3"/>
        <v>4493602.2385642836</v>
      </c>
      <c r="BQ22" s="12">
        <f t="shared" ca="1" si="3"/>
        <v>4751151.6814842327</v>
      </c>
    </row>
  </sheetData>
  <conditionalFormatting sqref="F3">
    <cfRule type="cellIs" dxfId="142" priority="8" stopIfTrue="1" operator="notEqual">
      <formula>0</formula>
    </cfRule>
    <cfRule type="cellIs" dxfId="141" priority="9" stopIfTrue="1" operator="equal">
      <formula>""</formula>
    </cfRule>
  </conditionalFormatting>
  <conditionalFormatting sqref="J3:BQ3">
    <cfRule type="cellIs" dxfId="140" priority="6" stopIfTrue="1" operator="equal">
      <formula>"Construction"</formula>
    </cfRule>
    <cfRule type="cellIs" dxfId="139" priority="7" stopIfTrue="1" operator="equal">
      <formula>"Operations"</formula>
    </cfRule>
  </conditionalFormatting>
  <conditionalFormatting sqref="J3:BQ3">
    <cfRule type="cellIs" dxfId="138" priority="5" operator="equal">
      <formula>"Fin Close"</formula>
    </cfRule>
  </conditionalFormatting>
  <conditionalFormatting sqref="J3:BQ3">
    <cfRule type="cellIs" dxfId="137" priority="3" operator="equal">
      <formula>"PPA ext."</formula>
    </cfRule>
    <cfRule type="cellIs" dxfId="136" priority="4" operator="equal">
      <formula>"Delay"</formula>
    </cfRule>
  </conditionalFormatting>
  <conditionalFormatting sqref="F2">
    <cfRule type="cellIs" dxfId="135" priority="1" stopIfTrue="1" operator="notEqual">
      <formula>0</formula>
    </cfRule>
    <cfRule type="cellIs" dxfId="134"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16" width="11.88671875" bestFit="1" customWidth="1"/>
    <col min="17" max="19" width="11.77734375" bestFit="1" customWidth="1"/>
    <col min="20" max="20" width="11.88671875" bestFit="1" customWidth="1"/>
    <col min="21" max="24" width="12.44140625" bestFit="1" customWidth="1"/>
    <col min="25"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Income Statement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Time!$J332:$BQ332, Time!J$28, Income!$J18:$BQ18)</f>
        <v>90000</v>
      </c>
      <c r="K8" s="10">
        <f ca="1" xml:space="preserve"> SUMIF( Time!$J332:$BQ332, Time!K$28, Income!$J18:$BQ18)</f>
        <v>210000</v>
      </c>
      <c r="L8" s="10">
        <f ca="1" xml:space="preserve"> SUMIF( Time!$J332:$BQ332, Time!L$28, Income!$J18:$BQ18)</f>
        <v>522000</v>
      </c>
      <c r="M8" s="10">
        <f ca="1" xml:space="preserve"> SUMIF( Time!$J332:$BQ332, Time!M$28, Income!$J18:$BQ18)</f>
        <v>870000</v>
      </c>
      <c r="N8" s="10">
        <f ca="1" xml:space="preserve"> SUMIF( Time!$J332:$BQ332, Time!N$28, Income!$J18:$BQ18)</f>
        <v>1557567.7856615577</v>
      </c>
      <c r="O8" s="10">
        <f ca="1" xml:space="preserve"> SUMIF( Time!$J332:$BQ332, Time!O$28, Income!$J18:$BQ18)</f>
        <v>2056267.9354602834</v>
      </c>
      <c r="P8" s="10">
        <f ca="1" xml:space="preserve"> SUMIF( Time!$J332:$BQ332, Time!P$28, Income!$J18:$BQ18)</f>
        <v>2070000</v>
      </c>
      <c r="Q8" s="10">
        <f ca="1" xml:space="preserve"> SUMIF( Time!$J332:$BQ332, Time!Q$28, Income!$J18:$BQ18)</f>
        <v>2250000</v>
      </c>
      <c r="R8" s="10">
        <f ca="1" xml:space="preserve"> SUMIF( Time!$J332:$BQ332, Time!R$28, Income!$J18:$BQ18)</f>
        <v>2898000</v>
      </c>
      <c r="S8" s="10">
        <f ca="1" xml:space="preserve"> SUMIF( Time!$J332:$BQ332, Time!S$28, Income!$J18:$BQ18)</f>
        <v>3618000</v>
      </c>
      <c r="T8" s="10">
        <f ca="1" xml:space="preserve"> SUMIF( Time!$J332:$BQ332, Time!T$28, Income!$J18:$BQ18)</f>
        <v>4362000</v>
      </c>
      <c r="U8" s="10">
        <f ca="1" xml:space="preserve"> SUMIF( Time!$J332:$BQ332, Time!U$28, Income!$J18:$BQ18)</f>
        <v>5202000</v>
      </c>
      <c r="V8" s="10">
        <f ca="1" xml:space="preserve"> SUMIF( Time!$J332:$BQ332, Time!V$28, Income!$J18:$BQ18)</f>
        <v>6425248.7703180388</v>
      </c>
      <c r="W8" s="10">
        <f ca="1" xml:space="preserve"> SUMIF( Time!$J332:$BQ332, Time!W$28, Income!$J18:$BQ18)</f>
        <v>8023376.8083952824</v>
      </c>
      <c r="X8" s="10">
        <f ca="1" xml:space="preserve"> SUMIF( Time!$J332:$BQ332, Time!X$28, Income!$J18:$BQ18)</f>
        <v>9912489.8197558783</v>
      </c>
      <c r="Y8" s="10">
        <f ca="1" xml:space="preserve"> SUMIF( Time!$J332:$BQ332, Time!Y$28, Income!$J18:$BQ18)</f>
        <v>12128177.243402768</v>
      </c>
      <c r="Z8" s="10">
        <f ca="1" xml:space="preserve"> SUMIF( Time!$J332:$BQ332, Time!Z$28, Income!$J18:$BQ18)</f>
        <v>14696609.866517041</v>
      </c>
      <c r="AA8" s="10">
        <f ca="1" xml:space="preserve"> SUMIF( Time!$J332:$BQ332, Time!AA$28, Income!$J18:$BQ18)</f>
        <v>17610865.94267153</v>
      </c>
      <c r="AB8" s="10">
        <f ca="1" xml:space="preserve"> SUMIF( Time!$J332:$BQ332, Time!AB$28, Income!$J18:$BQ18)</f>
        <v>20912691.96539272</v>
      </c>
      <c r="AC8" s="10">
        <f ca="1" xml:space="preserve"> SUMIF( Time!$J332:$BQ332, Time!AC$28, Income!$J18:$BQ18)</f>
        <v>24798066.812686495</v>
      </c>
    </row>
    <row r="9" spans="1:2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Time!$J332:$BQ332, Time!J$28, Expense!$J27:$BQ27)</f>
        <v>-43200</v>
      </c>
      <c r="K9" s="10">
        <f ca="1" xml:space="preserve"> SUMIF( Time!$J332:$BQ332, Time!K$28, Expense!$J27:$BQ27)</f>
        <v>-100800</v>
      </c>
      <c r="L9" s="10">
        <f ca="1" xml:space="preserve"> SUMIF( Time!$J332:$BQ332, Time!L$28, Expense!$J27:$BQ27)</f>
        <v>-187200</v>
      </c>
      <c r="M9" s="10">
        <f ca="1" xml:space="preserve"> SUMIF( Time!$J332:$BQ332, Time!M$28, Expense!$J27:$BQ27)</f>
        <v>-216000</v>
      </c>
      <c r="N9" s="10">
        <f ca="1" xml:space="preserve"> SUMIF( Time!$J332:$BQ332, Time!N$28, Expense!$J27:$BQ27)</f>
        <v>-242721.52255234006</v>
      </c>
      <c r="O9" s="10">
        <f ca="1" xml:space="preserve"> SUMIF( Time!$J332:$BQ332, Time!O$28, Expense!$J27:$BQ27)</f>
        <v>-288646.16158353619</v>
      </c>
      <c r="P9" s="10">
        <f ca="1" xml:space="preserve"> SUMIF( Time!$J332:$BQ332, Time!P$28, Expense!$J27:$BQ27)</f>
        <v>-343260.06907336635</v>
      </c>
      <c r="Q9" s="10">
        <f ca="1" xml:space="preserve"> SUMIF( Time!$J332:$BQ332, Time!Q$28, Expense!$J27:$BQ27)</f>
        <v>-408207.31643837283</v>
      </c>
      <c r="R9" s="10">
        <f ca="1" xml:space="preserve"> SUMIF( Time!$J332:$BQ332, Time!R$28, Expense!$J27:$BQ27)</f>
        <v>-524323.04510468012</v>
      </c>
      <c r="S9" s="10">
        <f ca="1" xml:space="preserve"> SUMIF( Time!$J332:$BQ332, Time!S$28, Expense!$J27:$BQ27)</f>
        <v>-668012.32316707273</v>
      </c>
      <c r="T9" s="10">
        <f ca="1" xml:space="preserve"> SUMIF( Time!$J332:$BQ332, Time!T$28, Expense!$J27:$BQ27)</f>
        <v>-855000.13814673305</v>
      </c>
      <c r="U9" s="10">
        <f ca="1" xml:space="preserve"> SUMIF( Time!$J332:$BQ332, Time!U$28, Expense!$J27:$BQ27)</f>
        <v>-1010814.6328767459</v>
      </c>
      <c r="V9" s="10">
        <f ca="1" xml:space="preserve"> SUMIF( Time!$J332:$BQ332, Time!V$28, Expense!$J27:$BQ27)</f>
        <v>-1189335.4605064669</v>
      </c>
      <c r="W9" s="10">
        <f ca="1" xml:space="preserve"> SUMIF( Time!$J332:$BQ332, Time!W$28, Expense!$J27:$BQ27)</f>
        <v>-1414366.1917593284</v>
      </c>
      <c r="X9" s="10">
        <f ca="1" xml:space="preserve"> SUMIF( Time!$J332:$BQ332, Time!X$28, Expense!$J27:$BQ27)</f>
        <v>-1681974.3384594966</v>
      </c>
      <c r="Y9" s="10">
        <f ca="1" xml:space="preserve"> SUMIF( Time!$J332:$BQ332, Time!Y$28, Expense!$J27:$BQ27)</f>
        <v>-2000215.8505480285</v>
      </c>
      <c r="Z9" s="10">
        <f ca="1" xml:space="preserve"> SUMIF( Time!$J332:$BQ332, Time!Z$28, Expense!$J27:$BQ27)</f>
        <v>-2378670.9210129352</v>
      </c>
      <c r="AA9" s="10">
        <f ca="1" xml:space="preserve"> SUMIF( Time!$J332:$BQ332, Time!AA$28, Expense!$J27:$BQ27)</f>
        <v>-2828732.3835186581</v>
      </c>
      <c r="AB9" s="10">
        <f ca="1" xml:space="preserve"> SUMIF( Time!$J332:$BQ332, Time!AB$28, Expense!$J27:$BQ27)</f>
        <v>-3363948.6769189951</v>
      </c>
      <c r="AC9" s="10">
        <f ca="1" xml:space="preserve"> SUMIF( Time!$J332:$BQ332, Time!AC$28, Expense!$J27:$BQ27)</f>
        <v>-4000431.7010960593</v>
      </c>
    </row>
    <row r="10" spans="1:2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Time!$J332:$BQ332, Time!J$28, Expense!$J20:$BQ20)</f>
        <v>-135000</v>
      </c>
      <c r="K10" s="10">
        <f xml:space="preserve"> SUMIF( Time!$J332:$BQ332, Time!K$28, Expense!$J20:$BQ20)</f>
        <v>-138282.42699726578</v>
      </c>
      <c r="L10" s="10">
        <f xml:space="preserve"> SUMIF( Time!$J332:$BQ332, Time!L$28, Expense!$J20:$BQ20)</f>
        <v>-141644.66382410476</v>
      </c>
      <c r="M10" s="10">
        <f xml:space="preserve"> SUMIF( Time!$J332:$BQ332, Time!M$28, Expense!$J20:$BQ20)</f>
        <v>-145088.65099858536</v>
      </c>
      <c r="N10" s="10">
        <f xml:space="preserve"> SUMIF( Time!$J332:$BQ332, Time!N$28, Expense!$J20:$BQ20)</f>
        <v>-148500.00000000003</v>
      </c>
      <c r="O10" s="10">
        <f xml:space="preserve"> SUMIF( Time!$J332:$BQ332, Time!O$28, Expense!$J20:$BQ20)</f>
        <v>-152125.5041845674</v>
      </c>
      <c r="P10" s="10">
        <f xml:space="preserve"> SUMIF( Time!$J332:$BQ332, Time!P$28, Expense!$J20:$BQ20)</f>
        <v>-155819.20449922944</v>
      </c>
      <c r="Q10" s="10">
        <f xml:space="preserve"> SUMIF( Time!$J332:$BQ332, Time!Q$28, Expense!$J20:$BQ20)</f>
        <v>-159614.78009494126</v>
      </c>
      <c r="R10" s="10">
        <f xml:space="preserve"> SUMIF( Time!$J332:$BQ332, Time!R$28, Expense!$J20:$BQ20)</f>
        <v>-163364.20583470946</v>
      </c>
      <c r="S10" s="10">
        <f xml:space="preserve"> SUMIF( Time!$J332:$BQ332, Time!S$28, Expense!$J20:$BQ20)</f>
        <v>-167332.62007705602</v>
      </c>
      <c r="T10" s="10">
        <f xml:space="preserve"> SUMIF( Time!$J332:$BQ332, Time!T$28, Expense!$J20:$BQ20)</f>
        <v>-171397.43433260245</v>
      </c>
      <c r="U10" s="10">
        <f xml:space="preserve"> SUMIF( Time!$J332:$BQ332, Time!U$28, Expense!$J20:$BQ20)</f>
        <v>-175571.51356246552</v>
      </c>
      <c r="V10" s="10">
        <f xml:space="preserve"> SUMIF( Time!$J332:$BQ332, Time!V$28, Expense!$J20:$BQ20)</f>
        <v>-179696.72236022056</v>
      </c>
      <c r="W10" s="10">
        <f xml:space="preserve"> SUMIF( Time!$J332:$BQ332, Time!W$28, Expense!$J20:$BQ20)</f>
        <v>-184062.89112249791</v>
      </c>
      <c r="X10" s="10">
        <f xml:space="preserve"> SUMIF( Time!$J332:$BQ332, Time!X$28, Expense!$J20:$BQ20)</f>
        <v>-188535.14657022111</v>
      </c>
      <c r="Y10" s="10">
        <f xml:space="preserve"> SUMIF( Time!$J332:$BQ332, Time!Y$28, Expense!$J20:$BQ20)</f>
        <v>-193125.53244547808</v>
      </c>
      <c r="Z10" s="10">
        <f xml:space="preserve"> SUMIF( Time!$J332:$BQ332, Time!Z$28, Expense!$J20:$BQ20)</f>
        <v>-197663.8170220583</v>
      </c>
      <c r="AA10" s="10">
        <f xml:space="preserve"> SUMIF( Time!$J332:$BQ332, Time!AA$28, Expense!$J20:$BQ20)</f>
        <v>-202467.20550461431</v>
      </c>
      <c r="AB10" s="10">
        <f xml:space="preserve"> SUMIF( Time!$J332:$BQ332, Time!AB$28, Expense!$J20:$BQ20)</f>
        <v>-207387.32016023505</v>
      </c>
      <c r="AC10" s="10">
        <f xml:space="preserve"> SUMIF( Time!$J332:$BQ332, Time!AC$28, Expense!$J20:$BQ20)</f>
        <v>-212391.85511650427</v>
      </c>
    </row>
    <row r="11" spans="1:29">
      <c r="E11" s="12" t="s">
        <v>179</v>
      </c>
      <c r="F11" s="30"/>
      <c r="G11" s="12" t="s">
        <v>258</v>
      </c>
      <c r="H11" s="56">
        <f ca="1" xml:space="preserve"> SUM( J11:BQ11 )</f>
        <v>113048430.72279142</v>
      </c>
      <c r="I11" s="30"/>
      <c r="J11" s="12">
        <f ca="1" xml:space="preserve"> SUMIF( Time!$J332:$BQ332, Time!J$28, 'Income Statement'!$J11:$BQ11)</f>
        <v>-88200</v>
      </c>
      <c r="K11" s="12">
        <f ca="1" xml:space="preserve"> SUMIF( Time!$J332:$BQ332, Time!K$28, 'Income Statement'!$J11:$BQ11)</f>
        <v>-29082.426997265786</v>
      </c>
      <c r="L11" s="12">
        <f ca="1" xml:space="preserve"> SUMIF( Time!$J332:$BQ332, Time!L$28, 'Income Statement'!$J11:$BQ11)</f>
        <v>193155.33617589524</v>
      </c>
      <c r="M11" s="12">
        <f ca="1" xml:space="preserve"> SUMIF( Time!$J332:$BQ332, Time!M$28, 'Income Statement'!$J11:$BQ11)</f>
        <v>508911.34900141461</v>
      </c>
      <c r="N11" s="12">
        <f ca="1" xml:space="preserve"> SUMIF( Time!$J332:$BQ332, Time!N$28, 'Income Statement'!$J11:$BQ11)</f>
        <v>1166346.2631092176</v>
      </c>
      <c r="O11" s="12">
        <f ca="1" xml:space="preserve"> SUMIF( Time!$J332:$BQ332, Time!O$28, 'Income Statement'!$J11:$BQ11)</f>
        <v>1615496.26969218</v>
      </c>
      <c r="P11" s="12">
        <f ca="1" xml:space="preserve"> SUMIF( Time!$J332:$BQ332, Time!P$28, 'Income Statement'!$J11:$BQ11)</f>
        <v>1570920.7264274042</v>
      </c>
      <c r="Q11" s="12">
        <f ca="1" xml:space="preserve"> SUMIF( Time!$J332:$BQ332, Time!Q$28, 'Income Statement'!$J11:$BQ11)</f>
        <v>1682177.9034666859</v>
      </c>
      <c r="R11" s="12">
        <f ca="1" xml:space="preserve"> SUMIF( Time!$J332:$BQ332, Time!R$28, 'Income Statement'!$J11:$BQ11)</f>
        <v>2210312.7490606103</v>
      </c>
      <c r="S11" s="12">
        <f ca="1" xml:space="preserve"> SUMIF( Time!$J332:$BQ332, Time!S$28, 'Income Statement'!$J11:$BQ11)</f>
        <v>2782655.0567558715</v>
      </c>
      <c r="T11" s="12">
        <f ca="1" xml:space="preserve"> SUMIF( Time!$J332:$BQ332, Time!T$28, 'Income Statement'!$J11:$BQ11)</f>
        <v>3335602.4275206644</v>
      </c>
      <c r="U11" s="12">
        <f ca="1" xml:space="preserve"> SUMIF( Time!$J332:$BQ332, Time!U$28, 'Income Statement'!$J11:$BQ11)</f>
        <v>4015613.8535607886</v>
      </c>
      <c r="V11" s="12">
        <f ca="1" xml:space="preserve"> SUMIF( Time!$J332:$BQ332, Time!V$28, 'Income Statement'!$J11:$BQ11)</f>
        <v>5056216.5874513518</v>
      </c>
      <c r="W11" s="12">
        <f ca="1" xml:space="preserve"> SUMIF( Time!$J332:$BQ332, Time!W$28, 'Income Statement'!$J11:$BQ11)</f>
        <v>6424947.7255134564</v>
      </c>
      <c r="X11" s="12">
        <f ca="1" xml:space="preserve"> SUMIF( Time!$J332:$BQ332, Time!X$28, 'Income Statement'!$J11:$BQ11)</f>
        <v>8041980.3347261604</v>
      </c>
      <c r="Y11" s="12">
        <f ca="1" xml:space="preserve"> SUMIF( Time!$J332:$BQ332, Time!Y$28, 'Income Statement'!$J11:$BQ11)</f>
        <v>9934835.8604092598</v>
      </c>
      <c r="Z11" s="12">
        <f ca="1" xml:space="preserve"> SUMIF( Time!$J332:$BQ332, Time!Z$28, 'Income Statement'!$J11:$BQ11)</f>
        <v>12120275.128482047</v>
      </c>
      <c r="AA11" s="12">
        <f ca="1" xml:space="preserve"> SUMIF( Time!$J332:$BQ332, Time!AA$28, 'Income Statement'!$J11:$BQ11)</f>
        <v>14579666.35364826</v>
      </c>
      <c r="AB11" s="12">
        <f ca="1" xml:space="preserve"> SUMIF( Time!$J332:$BQ332, Time!AB$28, 'Income Statement'!$J11:$BQ11)</f>
        <v>17341355.968313489</v>
      </c>
      <c r="AC11" s="12">
        <f ca="1" xml:space="preserve"> SUMIF( Time!$J332:$BQ332, Time!AC$28, 'Income Statement'!$J11:$BQ11)</f>
        <v>20585243.256473932</v>
      </c>
    </row>
    <row r="13" spans="1:2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Time!$J332:$BQ332, Time!J$28, Assets!$J14:$BQ14)</f>
        <v>21875</v>
      </c>
      <c r="K13" s="10">
        <f ca="1" xml:space="preserve"> SUMIF( Time!$J332:$BQ332, Time!K$28, Assets!$J14:$BQ14)</f>
        <v>14583.333333333334</v>
      </c>
      <c r="L13" s="10">
        <f ca="1" xml:space="preserve"> SUMIF( Time!$J332:$BQ332, Time!L$28, Assets!$J14:$BQ14)</f>
        <v>-14583.333333333334</v>
      </c>
      <c r="M13" s="10">
        <f ca="1" xml:space="preserve"> SUMIF( Time!$J332:$BQ332, Time!M$28, Assets!$J14:$BQ14)</f>
        <v>-102083.33333333334</v>
      </c>
      <c r="N13" s="10">
        <f ca="1" xml:space="preserve"> SUMIF( Time!$J332:$BQ332, Time!N$28, Assets!$J14:$BQ14)</f>
        <v>-189583.33333333334</v>
      </c>
      <c r="O13" s="10">
        <f ca="1" xml:space="preserve"> SUMIF( Time!$J332:$BQ332, Time!O$28, Assets!$J14:$BQ14)</f>
        <v>-196875</v>
      </c>
      <c r="P13" s="10">
        <f ca="1" xml:space="preserve"> SUMIF( Time!$J332:$BQ332, Time!P$28, Assets!$J14:$BQ14)</f>
        <v>-182291.66666666669</v>
      </c>
      <c r="Q13" s="10">
        <f ca="1" xml:space="preserve"> SUMIF( Time!$J332:$BQ332, Time!Q$28, Assets!$J14:$BQ14)</f>
        <v>-218750</v>
      </c>
      <c r="R13" s="10">
        <f ca="1" xml:space="preserve"> SUMIF( Time!$J332:$BQ332, Time!R$28, Assets!$J14:$BQ14)</f>
        <v>-309166.66666666669</v>
      </c>
      <c r="S13" s="10">
        <f ca="1" xml:space="preserve"> SUMIF( Time!$J332:$BQ332, Time!S$28, Assets!$J14:$BQ14)</f>
        <v>-395208.33333333337</v>
      </c>
      <c r="T13" s="10">
        <f ca="1" xml:space="preserve"> SUMIF( Time!$J332:$BQ332, Time!T$28, Assets!$J14:$BQ14)</f>
        <v>-479791.66666666669</v>
      </c>
      <c r="U13" s="10">
        <f ca="1" xml:space="preserve"> SUMIF( Time!$J332:$BQ332, Time!U$28, Assets!$J14:$BQ14)</f>
        <v>-584791.66666666663</v>
      </c>
      <c r="V13" s="10">
        <f ca="1" xml:space="preserve"> SUMIF( Time!$J332:$BQ332, Time!V$28, Assets!$J14:$BQ14)</f>
        <v>-736156.54410500452</v>
      </c>
      <c r="W13" s="10">
        <f ca="1" xml:space="preserve"> SUMIF( Time!$J332:$BQ332, Time!W$28, Assets!$J14:$BQ14)</f>
        <v>-927732.75928248186</v>
      </c>
      <c r="X13" s="10">
        <f ca="1" xml:space="preserve"> SUMIF( Time!$J332:$BQ332, Time!X$28, Assets!$J14:$BQ14)</f>
        <v>-1162843.3878683874</v>
      </c>
      <c r="Y13" s="10">
        <f ca="1" xml:space="preserve"> SUMIF( Time!$J332:$BQ332, Time!Y$28, Assets!$J14:$BQ14)</f>
        <v>-1424105.0355852405</v>
      </c>
      <c r="Z13" s="10">
        <f ca="1" xml:space="preserve"> SUMIF( Time!$J332:$BQ332, Time!Z$28, Assets!$J14:$BQ14)</f>
        <v>-1733417.0167024867</v>
      </c>
      <c r="AA13" s="10">
        <f ca="1" xml:space="preserve"> SUMIF( Time!$J332:$BQ332, Time!AA$28, Assets!$J14:$BQ14)</f>
        <v>-2094840.2803907744</v>
      </c>
      <c r="AB13" s="10">
        <f ca="1" xml:space="preserve"> SUMIF( Time!$J332:$BQ332, Time!AB$28, Assets!$J14:$BQ14)</f>
        <v>-2493165.7042292529</v>
      </c>
      <c r="AC13" s="10">
        <f ca="1" xml:space="preserve"> SUMIF( Time!$J332:$BQ332, Time!AC$28, Assets!$J14:$BQ14)</f>
        <v>-2966543.1663296255</v>
      </c>
    </row>
    <row r="14" spans="1:29">
      <c r="E14" s="12" t="s">
        <v>63</v>
      </c>
      <c r="F14" s="30"/>
      <c r="G14" s="12" t="s">
        <v>258</v>
      </c>
      <c r="H14" s="56">
        <f ca="1" xml:space="preserve"> SUM( J14:BQ14 )</f>
        <v>96872960.16163151</v>
      </c>
      <c r="I14" s="30"/>
      <c r="J14" s="12">
        <f ca="1" xml:space="preserve"> SUMIF( Time!$J332:$BQ332, Time!J$28, 'Income Statement'!$J14:$BQ14)</f>
        <v>-66325</v>
      </c>
      <c r="K14" s="12">
        <f ca="1" xml:space="preserve"> SUMIF( Time!$J332:$BQ332, Time!K$28, 'Income Statement'!$J14:$BQ14)</f>
        <v>-14499.093663932452</v>
      </c>
      <c r="L14" s="12">
        <f ca="1" xml:space="preserve"> SUMIF( Time!$J332:$BQ332, Time!L$28, 'Income Statement'!$J14:$BQ14)</f>
        <v>178572.00284256187</v>
      </c>
      <c r="M14" s="12">
        <f ca="1" xml:space="preserve"> SUMIF( Time!$J332:$BQ332, Time!M$28, 'Income Statement'!$J14:$BQ14)</f>
        <v>406828.01566808135</v>
      </c>
      <c r="N14" s="12">
        <f ca="1" xml:space="preserve"> SUMIF( Time!$J332:$BQ332, Time!N$28, 'Income Statement'!$J14:$BQ14)</f>
        <v>976762.92977588437</v>
      </c>
      <c r="O14" s="12">
        <f ca="1" xml:space="preserve"> SUMIF( Time!$J332:$BQ332, Time!O$28, 'Income Statement'!$J14:$BQ14)</f>
        <v>1418621.2696921797</v>
      </c>
      <c r="P14" s="12">
        <f ca="1" xml:space="preserve"> SUMIF( Time!$J332:$BQ332, Time!P$28, 'Income Statement'!$J14:$BQ14)</f>
        <v>1388629.0597607375</v>
      </c>
      <c r="Q14" s="12">
        <f ca="1" xml:space="preserve"> SUMIF( Time!$J332:$BQ332, Time!Q$28, 'Income Statement'!$J14:$BQ14)</f>
        <v>1463427.9034666857</v>
      </c>
      <c r="R14" s="12">
        <f ca="1" xml:space="preserve"> SUMIF( Time!$J332:$BQ332, Time!R$28, 'Income Statement'!$J14:$BQ14)</f>
        <v>1901146.0823939438</v>
      </c>
      <c r="S14" s="12">
        <f ca="1" xml:space="preserve"> SUMIF( Time!$J332:$BQ332, Time!S$28, 'Income Statement'!$J14:$BQ14)</f>
        <v>2387446.723422538</v>
      </c>
      <c r="T14" s="12">
        <f ca="1" xml:space="preserve"> SUMIF( Time!$J332:$BQ332, Time!T$28, 'Income Statement'!$J14:$BQ14)</f>
        <v>2855810.7608539974</v>
      </c>
      <c r="U14" s="12">
        <f ca="1" xml:space="preserve"> SUMIF( Time!$J332:$BQ332, Time!U$28, 'Income Statement'!$J14:$BQ14)</f>
        <v>3430822.1868941216</v>
      </c>
      <c r="V14" s="12">
        <f ca="1" xml:space="preserve"> SUMIF( Time!$J332:$BQ332, Time!V$28, 'Income Statement'!$J14:$BQ14)</f>
        <v>4320060.0433463473</v>
      </c>
      <c r="W14" s="12">
        <f ca="1" xml:space="preserve"> SUMIF( Time!$J332:$BQ332, Time!W$28, 'Income Statement'!$J14:$BQ14)</f>
        <v>5497214.9662309736</v>
      </c>
      <c r="X14" s="12">
        <f ca="1" xml:space="preserve"> SUMIF( Time!$J332:$BQ332, Time!X$28, 'Income Statement'!$J14:$BQ14)</f>
        <v>6879136.9468577737</v>
      </c>
      <c r="Y14" s="12">
        <f ca="1" xml:space="preserve"> SUMIF( Time!$J332:$BQ332, Time!Y$28, 'Income Statement'!$J14:$BQ14)</f>
        <v>8510730.8248240203</v>
      </c>
      <c r="Z14" s="12">
        <f ca="1" xml:space="preserve"> SUMIF( Time!$J332:$BQ332, Time!Z$28, 'Income Statement'!$J14:$BQ14)</f>
        <v>10386858.111779561</v>
      </c>
      <c r="AA14" s="12">
        <f ca="1" xml:space="preserve"> SUMIF( Time!$J332:$BQ332, Time!AA$28, 'Income Statement'!$J14:$BQ14)</f>
        <v>12484826.073257484</v>
      </c>
      <c r="AB14" s="12">
        <f ca="1" xml:space="preserve"> SUMIF( Time!$J332:$BQ332, Time!AB$28, 'Income Statement'!$J14:$BQ14)</f>
        <v>14848190.264084237</v>
      </c>
      <c r="AC14" s="12">
        <f ca="1" xml:space="preserve"> SUMIF( Time!$J332:$BQ332, Time!AC$28, 'Income Statement'!$J14:$BQ14)</f>
        <v>17618700.090144306</v>
      </c>
    </row>
    <row r="16" spans="1:2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Time!$J332:$BQ332, Time!J$28, 'Supply Chain finance'!$J42:$BQ42)</f>
        <v>0</v>
      </c>
      <c r="K16" s="10">
        <f ca="1" xml:space="preserve"> SUMIF( Time!$J332:$BQ332, Time!K$28, 'Supply Chain finance'!$J42:$BQ42)</f>
        <v>-11200</v>
      </c>
      <c r="L16" s="10">
        <f ca="1" xml:space="preserve"> SUMIF( Time!$J332:$BQ332, Time!L$28, 'Supply Chain finance'!$J42:$BQ42)</f>
        <v>-20533.333333333336</v>
      </c>
      <c r="M16" s="10">
        <f ca="1" xml:space="preserve"> SUMIF( Time!$J332:$BQ332, Time!M$28, 'Supply Chain finance'!$J42:$BQ42)</f>
        <v>-16800</v>
      </c>
      <c r="N16" s="10">
        <f ca="1" xml:space="preserve"> SUMIF( Time!$J332:$BQ332, Time!N$28, 'Supply Chain finance'!$J42:$BQ42)</f>
        <v>-7466.666666666667</v>
      </c>
      <c r="O16" s="10">
        <f ca="1" xml:space="preserve"> SUMIF( Time!$J332:$BQ332, Time!O$28, 'Supply Chain finance'!$J42:$BQ42)</f>
        <v>-2800</v>
      </c>
      <c r="P16" s="10">
        <f ca="1" xml:space="preserve"> SUMIF( Time!$J332:$BQ332, Time!P$28, 'Supply Chain finance'!$J42:$BQ42)</f>
        <v>-14000</v>
      </c>
      <c r="Q16" s="10">
        <f ca="1" xml:space="preserve"> SUMIF( Time!$J332:$BQ332, Time!Q$28, 'Supply Chain finance'!$J42:$BQ42)</f>
        <v>-25200</v>
      </c>
      <c r="R16" s="10">
        <f ca="1" xml:space="preserve"> SUMIF( Time!$J332:$BQ332, Time!R$28, 'Supply Chain finance'!$J42:$BQ42)</f>
        <v>-31733.333333333336</v>
      </c>
      <c r="S16" s="10">
        <f ca="1" xml:space="preserve"> SUMIF( Time!$J332:$BQ332, Time!S$28, 'Supply Chain finance'!$J42:$BQ42)</f>
        <v>-25200</v>
      </c>
      <c r="T16" s="10">
        <f ca="1" xml:space="preserve"> SUMIF( Time!$J332:$BQ332, Time!T$28, 'Supply Chain finance'!$J42:$BQ42)</f>
        <v>-7466.666666666667</v>
      </c>
      <c r="U16" s="10">
        <f ca="1" xml:space="preserve"> SUMIF( Time!$J332:$BQ332, Time!U$28, 'Supply Chain finance'!$J42:$BQ42)</f>
        <v>0</v>
      </c>
      <c r="V16" s="10">
        <f ca="1" xml:space="preserve"> SUMIF( Time!$J332:$BQ332, Time!V$28, 'Supply Chain finance'!$J42:$BQ42)</f>
        <v>0</v>
      </c>
      <c r="W16" s="10">
        <f ca="1" xml:space="preserve"> SUMIF( Time!$J332:$BQ332, Time!W$28, 'Supply Chain finance'!$J42:$BQ42)</f>
        <v>0</v>
      </c>
      <c r="X16" s="10">
        <f ca="1" xml:space="preserve"> SUMIF( Time!$J332:$BQ332, Time!X$28, 'Supply Chain finance'!$J42:$BQ42)</f>
        <v>0</v>
      </c>
      <c r="Y16" s="10">
        <f ca="1" xml:space="preserve"> SUMIF( Time!$J332:$BQ332, Time!Y$28, 'Supply Chain finance'!$J42:$BQ42)</f>
        <v>0</v>
      </c>
      <c r="Z16" s="10">
        <f ca="1" xml:space="preserve"> SUMIF( Time!$J332:$BQ332, Time!Z$28, 'Supply Chain finance'!$J42:$BQ42)</f>
        <v>0</v>
      </c>
      <c r="AA16" s="10">
        <f ca="1" xml:space="preserve"> SUMIF( Time!$J332:$BQ332, Time!AA$28, 'Supply Chain finance'!$J42:$BQ42)</f>
        <v>0</v>
      </c>
      <c r="AB16" s="10">
        <f ca="1" xml:space="preserve"> SUMIF( Time!$J332:$BQ332, Time!AB$28, 'Supply Chain finance'!$J42:$BQ42)</f>
        <v>0</v>
      </c>
      <c r="AC16" s="10">
        <f ca="1" xml:space="preserve"> SUMIF( Time!$J332:$BQ332, Time!AC$28, 'Supply Chain finance'!$J42:$BQ42)</f>
        <v>0</v>
      </c>
    </row>
    <row r="17" spans="5:2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Time!$J332:$BQ332, Time!J$28, 'Invoice finance'!$J41:$BQ41)</f>
        <v>-225</v>
      </c>
      <c r="K17" s="10">
        <f ca="1" xml:space="preserve"> SUMIF( Time!$J332:$BQ332, Time!K$28, 'Invoice finance'!$J41:$BQ41)</f>
        <v>-2160</v>
      </c>
      <c r="L17" s="10">
        <f ca="1" xml:space="preserve"> SUMIF( Time!$J332:$BQ332, Time!L$28, 'Invoice finance'!$J41:$BQ41)</f>
        <v>-5220</v>
      </c>
      <c r="M17" s="10">
        <f ca="1" xml:space="preserve"> SUMIF( Time!$J332:$BQ332, Time!M$28, 'Invoice finance'!$J41:$BQ41)</f>
        <v>-10080</v>
      </c>
      <c r="N17" s="10">
        <f ca="1" xml:space="preserve"> SUMIF( Time!$J332:$BQ332, Time!N$28, 'Invoice finance'!$J41:$BQ41)</f>
        <v>-18206.758392461681</v>
      </c>
      <c r="O17" s="10">
        <f ca="1" xml:space="preserve"> SUMIF( Time!$J332:$BQ332, Time!O$28, 'Invoice finance'!$J41:$BQ41)</f>
        <v>-27900.777424365933</v>
      </c>
      <c r="P17" s="10">
        <f ca="1" xml:space="preserve"> SUMIF( Time!$J332:$BQ332, Time!P$28, 'Invoice finance'!$J41:$BQ41)</f>
        <v>-31050</v>
      </c>
      <c r="Q17" s="10">
        <f ca="1" xml:space="preserve"> SUMIF( Time!$J332:$BQ332, Time!Q$28, 'Invoice finance'!$J41:$BQ41)</f>
        <v>-31500</v>
      </c>
      <c r="R17" s="10">
        <f ca="1" xml:space="preserve"> SUMIF( Time!$J332:$BQ332, Time!R$28, 'Invoice finance'!$J41:$BQ41)</f>
        <v>-37890</v>
      </c>
      <c r="S17" s="10">
        <f ca="1" xml:space="preserve"> SUMIF( Time!$J332:$BQ332, Time!S$28, 'Invoice finance'!$J41:$BQ41)</f>
        <v>-7245</v>
      </c>
      <c r="T17" s="10">
        <f ca="1" xml:space="preserve"> SUMIF( Time!$J332:$BQ332, Time!T$28, 'Invoice finance'!$J41:$BQ41)</f>
        <v>0</v>
      </c>
      <c r="U17" s="10">
        <f ca="1" xml:space="preserve"> SUMIF( Time!$J332:$BQ332, Time!U$28, 'Invoice finance'!$J41:$BQ41)</f>
        <v>0</v>
      </c>
      <c r="V17" s="10">
        <f ca="1" xml:space="preserve"> SUMIF( Time!$J332:$BQ332, Time!V$28, 'Invoice finance'!$J41:$BQ41)</f>
        <v>0</v>
      </c>
      <c r="W17" s="10">
        <f ca="1" xml:space="preserve"> SUMIF( Time!$J332:$BQ332, Time!W$28, 'Invoice finance'!$J41:$BQ41)</f>
        <v>0</v>
      </c>
      <c r="X17" s="10">
        <f ca="1" xml:space="preserve"> SUMIF( Time!$J332:$BQ332, Time!X$28, 'Invoice finance'!$J41:$BQ41)</f>
        <v>0</v>
      </c>
      <c r="Y17" s="10">
        <f ca="1" xml:space="preserve"> SUMIF( Time!$J332:$BQ332, Time!Y$28, 'Invoice finance'!$J41:$BQ41)</f>
        <v>0</v>
      </c>
      <c r="Z17" s="10">
        <f ca="1" xml:space="preserve"> SUMIF( Time!$J332:$BQ332, Time!Z$28, 'Invoice finance'!$J41:$BQ41)</f>
        <v>0</v>
      </c>
      <c r="AA17" s="10">
        <f ca="1" xml:space="preserve"> SUMIF( Time!$J332:$BQ332, Time!AA$28, 'Invoice finance'!$J41:$BQ41)</f>
        <v>0</v>
      </c>
      <c r="AB17" s="10">
        <f ca="1" xml:space="preserve"> SUMIF( Time!$J332:$BQ332, Time!AB$28, 'Invoice finance'!$J41:$BQ41)</f>
        <v>0</v>
      </c>
      <c r="AC17" s="10">
        <f ca="1" xml:space="preserve"> SUMIF( Time!$J332:$BQ332, Time!AC$28, 'Invoice finance'!$J41:$BQ41)</f>
        <v>0</v>
      </c>
    </row>
    <row r="18" spans="5:2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Time!$J332:$BQ332, Time!J$28, 'Asset Finance'!$J42:$BQ42)</f>
        <v>-1166.6666666666667</v>
      </c>
      <c r="K18" s="10">
        <f ca="1" xml:space="preserve"> SUMIF( Time!$J332:$BQ332, Time!K$28, 'Asset Finance'!$J42:$BQ42)</f>
        <v>-3216.3507908950623</v>
      </c>
      <c r="L18" s="10">
        <f ca="1" xml:space="preserve"> SUMIF( Time!$J332:$BQ332, Time!L$28, 'Asset Finance'!$J42:$BQ42)</f>
        <v>-9543.2103640639634</v>
      </c>
      <c r="M18" s="10">
        <f ca="1" xml:space="preserve"> SUMIF( Time!$J332:$BQ332, Time!M$28, 'Asset Finance'!$J42:$BQ42)</f>
        <v>-12968.767397248717</v>
      </c>
      <c r="N18" s="10">
        <f ca="1" xml:space="preserve"> SUMIF( Time!$J332:$BQ332, Time!N$28, 'Asset Finance'!$J42:$BQ42)</f>
        <v>-24839.047520422828</v>
      </c>
      <c r="O18" s="10">
        <f ca="1" xml:space="preserve"> SUMIF( Time!$J332:$BQ332, Time!O$28, 'Asset Finance'!$J42:$BQ42)</f>
        <v>-30717.063887513352</v>
      </c>
      <c r="P18" s="10">
        <f ca="1" xml:space="preserve"> SUMIF( Time!$J332:$BQ332, Time!P$28, 'Asset Finance'!$J42:$BQ42)</f>
        <v>-27035.193599491824</v>
      </c>
      <c r="Q18" s="10">
        <f ca="1" xml:space="preserve"> SUMIF( Time!$J332:$BQ332, Time!Q$28, 'Asset Finance'!$J42:$BQ42)</f>
        <v>-27246.035917608289</v>
      </c>
      <c r="R18" s="10">
        <f ca="1" xml:space="preserve"> SUMIF( Time!$J332:$BQ332, Time!R$28, 'Asset Finance'!$J42:$BQ42)</f>
        <v>-30597.404442241037</v>
      </c>
      <c r="S18" s="10">
        <f ca="1" xml:space="preserve"> SUMIF( Time!$J332:$BQ332, Time!S$28, 'Asset Finance'!$J42:$BQ42)</f>
        <v>-26929.877014521604</v>
      </c>
      <c r="T18" s="10">
        <f ca="1" xml:space="preserve"> SUMIF( Time!$J332:$BQ332, Time!T$28, 'Asset Finance'!$J42:$BQ42)</f>
        <v>-23701.954111377632</v>
      </c>
      <c r="U18" s="10">
        <f ca="1" xml:space="preserve"> SUMIF( Time!$J332:$BQ332, Time!U$28, 'Asset Finance'!$J42:$BQ42)</f>
        <v>-20860.94297404019</v>
      </c>
      <c r="V18" s="10">
        <f ca="1" xml:space="preserve"> SUMIF( Time!$J332:$BQ332, Time!V$28, 'Asset Finance'!$J42:$BQ42)</f>
        <v>-18360.466808821398</v>
      </c>
      <c r="W18" s="10">
        <f ca="1" xml:space="preserve"> SUMIF( Time!$J332:$BQ332, Time!W$28, 'Asset Finance'!$J42:$BQ42)</f>
        <v>-16159.70773024667</v>
      </c>
      <c r="X18" s="10">
        <f ca="1" xml:space="preserve"> SUMIF( Time!$J332:$BQ332, Time!X$28, 'Asset Finance'!$J42:$BQ42)</f>
        <v>-14222.740448054925</v>
      </c>
      <c r="Y18" s="10">
        <f ca="1" xml:space="preserve"> SUMIF( Time!$J332:$BQ332, Time!Y$28, 'Asset Finance'!$J42:$BQ42)</f>
        <v>-12517.945821143248</v>
      </c>
      <c r="Z18" s="10">
        <f ca="1" xml:space="preserve"> SUMIF( Time!$J332:$BQ332, Time!Z$28, 'Asset Finance'!$J42:$BQ42)</f>
        <v>-11017.49470528428</v>
      </c>
      <c r="AA18" s="10">
        <f ca="1" xml:space="preserve"> SUMIF( Time!$J332:$BQ332, Time!AA$28, 'Asset Finance'!$J42:$BQ42)</f>
        <v>-9696.893668923165</v>
      </c>
      <c r="AB18" s="10">
        <f ca="1" xml:space="preserve"> SUMIF( Time!$J332:$BQ332, Time!AB$28, 'Asset Finance'!$J42:$BQ42)</f>
        <v>-8534.5851612983315</v>
      </c>
      <c r="AC18" s="10">
        <f ca="1" xml:space="preserve"> SUMIF( Time!$J332:$BQ332, Time!AC$28, 'Asset Finance'!$J42:$BQ42)</f>
        <v>-7511.5956060125009</v>
      </c>
    </row>
    <row r="19" spans="5:29">
      <c r="E19" s="12" t="s">
        <v>180</v>
      </c>
      <c r="F19" s="30"/>
      <c r="G19" s="12" t="s">
        <v>258</v>
      </c>
      <c r="H19" s="56">
        <f ca="1" xml:space="preserve"> SUM( J19:BQ19 )</f>
        <v>96202238.681178793</v>
      </c>
      <c r="I19" s="30"/>
      <c r="J19" s="12">
        <f ca="1" xml:space="preserve"> SUMIF( Time!$J332:$BQ332, Time!J$28, 'Income Statement'!$J19:$BQ19)</f>
        <v>-67716.666666666672</v>
      </c>
      <c r="K19" s="12">
        <f ca="1" xml:space="preserve"> SUMIF( Time!$J332:$BQ332, Time!K$28, 'Income Statement'!$J19:$BQ19)</f>
        <v>-31075.444454827513</v>
      </c>
      <c r="L19" s="12">
        <f ca="1" xml:space="preserve"> SUMIF( Time!$J332:$BQ332, Time!L$28, 'Income Statement'!$J19:$BQ19)</f>
        <v>143275.45914516458</v>
      </c>
      <c r="M19" s="12">
        <f ca="1" xml:space="preserve"> SUMIF( Time!$J332:$BQ332, Time!M$28, 'Income Statement'!$J19:$BQ19)</f>
        <v>366979.24827083258</v>
      </c>
      <c r="N19" s="12">
        <f ca="1" xml:space="preserve"> SUMIF( Time!$J332:$BQ332, Time!N$28, 'Income Statement'!$J19:$BQ19)</f>
        <v>926250.45719633321</v>
      </c>
      <c r="O19" s="12">
        <f ca="1" xml:space="preserve"> SUMIF( Time!$J332:$BQ332, Time!O$28, 'Income Statement'!$J19:$BQ19)</f>
        <v>1357203.4283803005</v>
      </c>
      <c r="P19" s="12">
        <f ca="1" xml:space="preserve"> SUMIF( Time!$J332:$BQ332, Time!P$28, 'Income Statement'!$J19:$BQ19)</f>
        <v>1316543.8661612459</v>
      </c>
      <c r="Q19" s="12">
        <f ca="1" xml:space="preserve"> SUMIF( Time!$J332:$BQ332, Time!Q$28, 'Income Statement'!$J19:$BQ19)</f>
        <v>1379481.8675490776</v>
      </c>
      <c r="R19" s="12">
        <f ca="1" xml:space="preserve"> SUMIF( Time!$J332:$BQ332, Time!R$28, 'Income Statement'!$J19:$BQ19)</f>
        <v>1800925.3446183696</v>
      </c>
      <c r="S19" s="12">
        <f ca="1" xml:space="preserve"> SUMIF( Time!$J332:$BQ332, Time!S$28, 'Income Statement'!$J19:$BQ19)</f>
        <v>2328071.8464080165</v>
      </c>
      <c r="T19" s="12">
        <f ca="1" xml:space="preserve"> SUMIF( Time!$J332:$BQ332, Time!T$28, 'Income Statement'!$J19:$BQ19)</f>
        <v>2824642.1400759532</v>
      </c>
      <c r="U19" s="12">
        <f ca="1" xml:space="preserve"> SUMIF( Time!$J332:$BQ332, Time!U$28, 'Income Statement'!$J19:$BQ19)</f>
        <v>3409961.2439200813</v>
      </c>
      <c r="V19" s="12">
        <f ca="1" xml:space="preserve"> SUMIF( Time!$J332:$BQ332, Time!V$28, 'Income Statement'!$J19:$BQ19)</f>
        <v>4301699.5765375253</v>
      </c>
      <c r="W19" s="12">
        <f ca="1" xml:space="preserve"> SUMIF( Time!$J332:$BQ332, Time!W$28, 'Income Statement'!$J19:$BQ19)</f>
        <v>5481055.2585007278</v>
      </c>
      <c r="X19" s="12">
        <f ca="1" xml:space="preserve"> SUMIF( Time!$J332:$BQ332, Time!X$28, 'Income Statement'!$J19:$BQ19)</f>
        <v>6864914.2064097188</v>
      </c>
      <c r="Y19" s="12">
        <f ca="1" xml:space="preserve"> SUMIF( Time!$J332:$BQ332, Time!Y$28, 'Income Statement'!$J19:$BQ19)</f>
        <v>8498212.8790028766</v>
      </c>
      <c r="Z19" s="12">
        <f ca="1" xml:space="preserve"> SUMIF( Time!$J332:$BQ332, Time!Z$28, 'Income Statement'!$J19:$BQ19)</f>
        <v>10375840.617074277</v>
      </c>
      <c r="AA19" s="12">
        <f ca="1" xml:space="preserve"> SUMIF( Time!$J332:$BQ332, Time!AA$28, 'Income Statement'!$J19:$BQ19)</f>
        <v>12475129.17958856</v>
      </c>
      <c r="AB19" s="12">
        <f ca="1" xml:space="preserve"> SUMIF( Time!$J332:$BQ332, Time!AB$28, 'Income Statement'!$J19:$BQ19)</f>
        <v>14839655.678922936</v>
      </c>
      <c r="AC19" s="12">
        <f ca="1" xml:space="preserve"> SUMIF( Time!$J332:$BQ332, Time!AC$28, 'Income Statement'!$J19:$BQ19)</f>
        <v>17611188.494538296</v>
      </c>
    </row>
    <row r="21" spans="5:2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Time!$J332:$BQ332, Time!J$28, 'Corporation tax'!$J48:$BQ48)</f>
        <v>0</v>
      </c>
      <c r="K21" s="10">
        <f ca="1" xml:space="preserve"> SUMIF( Time!$J332:$BQ332, Time!K$28, 'Corporation tax'!$J48:$BQ48)</f>
        <v>0</v>
      </c>
      <c r="L21" s="10">
        <f ca="1" xml:space="preserve"> SUMIF( Time!$J332:$BQ332, Time!L$28, 'Corporation tax'!$J48:$BQ48)</f>
        <v>-23454.58183572589</v>
      </c>
      <c r="M21" s="10">
        <f ca="1" xml:space="preserve"> SUMIF( Time!$J332:$BQ332, Time!M$28, 'Corporation tax'!$J48:$BQ48)</f>
        <v>-101782.26980028293</v>
      </c>
      <c r="N21" s="10">
        <f ca="1" xml:space="preserve"> SUMIF( Time!$J332:$BQ332, Time!N$28, 'Corporation tax'!$J48:$BQ48)</f>
        <v>-233269.25262184354</v>
      </c>
      <c r="O21" s="10">
        <f ca="1" xml:space="preserve"> SUMIF( Time!$J332:$BQ332, Time!O$28, 'Corporation tax'!$J48:$BQ48)</f>
        <v>-323099.25393843598</v>
      </c>
      <c r="P21" s="10">
        <f ca="1" xml:space="preserve"> SUMIF( Time!$J332:$BQ332, Time!P$28, 'Corporation tax'!$J48:$BQ48)</f>
        <v>-314184.14528548083</v>
      </c>
      <c r="Q21" s="10">
        <f ca="1" xml:space="preserve"> SUMIF( Time!$J332:$BQ332, Time!Q$28, 'Corporation tax'!$J48:$BQ48)</f>
        <v>-336435.58069333719</v>
      </c>
      <c r="R21" s="10">
        <f ca="1" xml:space="preserve"> SUMIF( Time!$J332:$BQ332, Time!R$28, 'Corporation tax'!$J48:$BQ48)</f>
        <v>-442062.54981212213</v>
      </c>
      <c r="S21" s="10">
        <f ca="1" xml:space="preserve"> SUMIF( Time!$J332:$BQ332, Time!S$28, 'Corporation tax'!$J48:$BQ48)</f>
        <v>-556531.01135117433</v>
      </c>
      <c r="T21" s="10">
        <f ca="1" xml:space="preserve"> SUMIF( Time!$J332:$BQ332, Time!T$28, 'Corporation tax'!$J48:$BQ48)</f>
        <v>-667120.48550413293</v>
      </c>
      <c r="U21" s="10">
        <f ca="1" xml:space="preserve"> SUMIF( Time!$J332:$BQ332, Time!U$28, 'Corporation tax'!$J48:$BQ48)</f>
        <v>-803122.77071215771</v>
      </c>
      <c r="V21" s="10">
        <f ca="1" xml:space="preserve"> SUMIF( Time!$J332:$BQ332, Time!V$28, 'Corporation tax'!$J48:$BQ48)</f>
        <v>-1011243.3174902704</v>
      </c>
      <c r="W21" s="10">
        <f ca="1" xml:space="preserve"> SUMIF( Time!$J332:$BQ332, Time!W$28, 'Corporation tax'!$J48:$BQ48)</f>
        <v>-1284989.5451026913</v>
      </c>
      <c r="X21" s="10">
        <f ca="1" xml:space="preserve"> SUMIF( Time!$J332:$BQ332, Time!X$28, 'Corporation tax'!$J48:$BQ48)</f>
        <v>-1608396.0669452325</v>
      </c>
      <c r="Y21" s="10">
        <f ca="1" xml:space="preserve"> SUMIF( Time!$J332:$BQ332, Time!Y$28, 'Corporation tax'!$J48:$BQ48)</f>
        <v>-1986967.1720818523</v>
      </c>
      <c r="Z21" s="10">
        <f ca="1" xml:space="preserve"> SUMIF( Time!$J332:$BQ332, Time!Z$28, 'Corporation tax'!$J48:$BQ48)</f>
        <v>-2424055.0256964099</v>
      </c>
      <c r="AA21" s="10">
        <f ca="1" xml:space="preserve"> SUMIF( Time!$J332:$BQ332, Time!AA$28, 'Corporation tax'!$J48:$BQ48)</f>
        <v>-2915933.2707296517</v>
      </c>
      <c r="AB21" s="10">
        <f ca="1" xml:space="preserve"> SUMIF( Time!$J332:$BQ332, Time!AB$28, 'Corporation tax'!$J48:$BQ48)</f>
        <v>-3468271.1936626979</v>
      </c>
      <c r="AC21" s="10">
        <f ca="1" xml:space="preserve"> SUMIF( Time!$J332:$BQ332, Time!AC$28, 'Corporation tax'!$J48:$BQ48)</f>
        <v>-4117048.6512947865</v>
      </c>
    </row>
    <row r="22" spans="5:29">
      <c r="E22" s="12" t="s">
        <v>37</v>
      </c>
      <c r="F22" s="30"/>
      <c r="G22" s="12" t="s">
        <v>258</v>
      </c>
      <c r="H22" s="56">
        <f ca="1" xml:space="preserve"> SUM( J22:BQ22 )</f>
        <v>73584272.536620528</v>
      </c>
      <c r="I22" s="30"/>
      <c r="J22" s="12">
        <f ca="1" xml:space="preserve"> SUMIF( Time!$J332:$BQ332, Time!J$28, 'Income Statement'!$J22:$BQ22)</f>
        <v>-67716.666666666672</v>
      </c>
      <c r="K22" s="12">
        <f ca="1" xml:space="preserve"> SUMIF( Time!$J332:$BQ332, Time!K$28, 'Income Statement'!$J22:$BQ22)</f>
        <v>-31075.444454827513</v>
      </c>
      <c r="L22" s="12">
        <f ca="1" xml:space="preserve"> SUMIF( Time!$J332:$BQ332, Time!L$28, 'Income Statement'!$J22:$BQ22)</f>
        <v>119820.8773094387</v>
      </c>
      <c r="M22" s="12">
        <f ca="1" xml:space="preserve"> SUMIF( Time!$J332:$BQ332, Time!M$28, 'Income Statement'!$J22:$BQ22)</f>
        <v>265196.97847054969</v>
      </c>
      <c r="N22" s="12">
        <f ca="1" xml:space="preserve"> SUMIF( Time!$J332:$BQ332, Time!N$28, 'Income Statement'!$J22:$BQ22)</f>
        <v>692981.20457448962</v>
      </c>
      <c r="O22" s="12">
        <f ca="1" xml:space="preserve"> SUMIF( Time!$J332:$BQ332, Time!O$28, 'Income Statement'!$J22:$BQ22)</f>
        <v>1034104.1744418646</v>
      </c>
      <c r="P22" s="12">
        <f ca="1" xml:space="preserve"> SUMIF( Time!$J332:$BQ332, Time!P$28, 'Income Statement'!$J22:$BQ22)</f>
        <v>1002359.720875765</v>
      </c>
      <c r="Q22" s="12">
        <f ca="1" xml:space="preserve"> SUMIF( Time!$J332:$BQ332, Time!Q$28, 'Income Statement'!$J22:$BQ22)</f>
        <v>1043046.2868557402</v>
      </c>
      <c r="R22" s="12">
        <f ca="1" xml:space="preserve"> SUMIF( Time!$J332:$BQ332, Time!R$28, 'Income Statement'!$J22:$BQ22)</f>
        <v>1358862.7948062476</v>
      </c>
      <c r="S22" s="12">
        <f ca="1" xml:space="preserve"> SUMIF( Time!$J332:$BQ332, Time!S$28, 'Income Statement'!$J22:$BQ22)</f>
        <v>1771540.8350568423</v>
      </c>
      <c r="T22" s="12">
        <f ca="1" xml:space="preserve"> SUMIF( Time!$J332:$BQ332, Time!T$28, 'Income Statement'!$J22:$BQ22)</f>
        <v>2157521.6545718205</v>
      </c>
      <c r="U22" s="12">
        <f ca="1" xml:space="preserve"> SUMIF( Time!$J332:$BQ332, Time!U$28, 'Income Statement'!$J22:$BQ22)</f>
        <v>2606838.4732079236</v>
      </c>
      <c r="V22" s="12">
        <f ca="1" xml:space="preserve"> SUMIF( Time!$J332:$BQ332, Time!V$28, 'Income Statement'!$J22:$BQ22)</f>
        <v>3290456.2590472549</v>
      </c>
      <c r="W22" s="12">
        <f ca="1" xml:space="preserve"> SUMIF( Time!$J332:$BQ332, Time!W$28, 'Income Statement'!$J22:$BQ22)</f>
        <v>4196065.7133980365</v>
      </c>
      <c r="X22" s="12">
        <f ca="1" xml:space="preserve"> SUMIF( Time!$J332:$BQ332, Time!X$28, 'Income Statement'!$J22:$BQ22)</f>
        <v>5256518.1394644864</v>
      </c>
      <c r="Y22" s="12">
        <f ca="1" xml:space="preserve"> SUMIF( Time!$J332:$BQ332, Time!Y$28, 'Income Statement'!$J22:$BQ22)</f>
        <v>6511245.7069210261</v>
      </c>
      <c r="Z22" s="12">
        <f ca="1" xml:space="preserve"> SUMIF( Time!$J332:$BQ332, Time!Z$28, 'Income Statement'!$J22:$BQ22)</f>
        <v>7951785.5913778674</v>
      </c>
      <c r="AA22" s="12">
        <f ca="1" xml:space="preserve"> SUMIF( Time!$J332:$BQ332, Time!AA$28, 'Income Statement'!$J22:$BQ22)</f>
        <v>9559195.9088589102</v>
      </c>
      <c r="AB22" s="12">
        <f ca="1" xml:space="preserve"> SUMIF( Time!$J332:$BQ332, Time!AB$28, 'Income Statement'!$J22:$BQ22)</f>
        <v>11371384.485260239</v>
      </c>
      <c r="AC22" s="12">
        <f ca="1" xml:space="preserve"> SUMIF( Time!$J332:$BQ332, Time!AC$28, 'Income Statement'!$J22:$BQ22)</f>
        <v>13494139.84324351</v>
      </c>
    </row>
  </sheetData>
  <conditionalFormatting sqref="F3">
    <cfRule type="cellIs" dxfId="133" priority="8" stopIfTrue="1" operator="notEqual">
      <formula>0</formula>
    </cfRule>
    <cfRule type="cellIs" dxfId="132" priority="9" stopIfTrue="1" operator="equal">
      <formula>""</formula>
    </cfRule>
  </conditionalFormatting>
  <conditionalFormatting sqref="J3:AC3">
    <cfRule type="cellIs" dxfId="131" priority="6" stopIfTrue="1" operator="equal">
      <formula>"Construction"</formula>
    </cfRule>
    <cfRule type="cellIs" dxfId="130" priority="7" stopIfTrue="1" operator="equal">
      <formula>"Operations"</formula>
    </cfRule>
  </conditionalFormatting>
  <conditionalFormatting sqref="J3:AC3">
    <cfRule type="cellIs" dxfId="129" priority="5" operator="equal">
      <formula>"Fin Close"</formula>
    </cfRule>
  </conditionalFormatting>
  <conditionalFormatting sqref="J3:AC3">
    <cfRule type="cellIs" dxfId="128" priority="3" operator="equal">
      <formula>"PPA ext."</formula>
    </cfRule>
    <cfRule type="cellIs" dxfId="127" priority="4" operator="equal">
      <formula>"Delay"</formula>
    </cfRule>
  </conditionalFormatting>
  <conditionalFormatting sqref="F2">
    <cfRule type="cellIs" dxfId="126" priority="1" stopIfTrue="1" operator="notEqual">
      <formula>0</formula>
    </cfRule>
    <cfRule type="cellIs" dxfId="125"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14.44140625" style="45" bestFit="1" customWidth="1"/>
    <col min="9" max="9" width="3.44140625" customWidth="1"/>
    <col min="10" max="13" width="11.77734375" bestFit="1" customWidth="1"/>
    <col min="14" max="15" width="12.44140625" bestFit="1" customWidth="1"/>
    <col min="16" max="19" width="13.21875" bestFit="1" customWidth="1"/>
    <col min="20" max="20" width="15.109375" hidden="1" customWidth="1"/>
    <col min="21" max="16384" width="15.109375" hidden="1"/>
  </cols>
  <sheetData>
    <row r="1" spans="1:19" s="73" customFormat="1" ht="25">
      <c r="A1" s="46" t="str">
        <f ca="1" xml:space="preserve"> RIGHT(CELL("filename", A1), LEN(CELL("filename", A1)) - SEARCH("]", CELL("filename", A1)))</f>
        <v>Income Statement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Income!E$18</f>
        <v>Income</v>
      </c>
      <c r="F8" s="17">
        <f xml:space="preserve"> Income!F$18</f>
        <v>0</v>
      </c>
      <c r="G8" s="17" t="str">
        <f xml:space="preserve"> Income!G$18</f>
        <v>GBP</v>
      </c>
      <c r="H8" s="44">
        <f ca="1" xml:space="preserve"> Income!H$18</f>
        <v>140213362.95026162</v>
      </c>
      <c r="I8" s="17">
        <f xml:space="preserve"> Income!I$18</f>
        <v>0</v>
      </c>
      <c r="J8" s="10">
        <f ca="1" xml:space="preserve"> SUMIF( Time!$J347:$BQ347, Time!J$28, Income!$J18:$BQ18)</f>
        <v>300000</v>
      </c>
      <c r="K8" s="10">
        <f ca="1" xml:space="preserve"> SUMIF( Time!$J347:$BQ347, Time!K$28, Income!$J18:$BQ18)</f>
        <v>1392000</v>
      </c>
      <c r="L8" s="10">
        <f ca="1" xml:space="preserve"> SUMIF( Time!$J347:$BQ347, Time!L$28, Income!$J18:$BQ18)</f>
        <v>3613835.7211218411</v>
      </c>
      <c r="M8" s="10">
        <f ca="1" xml:space="preserve"> SUMIF( Time!$J347:$BQ347, Time!M$28, Income!$J18:$BQ18)</f>
        <v>4320000</v>
      </c>
      <c r="N8" s="10">
        <f ca="1" xml:space="preserve"> SUMIF( Time!$J347:$BQ347, Time!N$28, Income!$J18:$BQ18)</f>
        <v>6516000</v>
      </c>
      <c r="O8" s="10">
        <f ca="1" xml:space="preserve"> SUMIF( Time!$J347:$BQ347, Time!O$28, Income!$J18:$BQ18)</f>
        <v>9564000</v>
      </c>
      <c r="P8" s="10">
        <f ca="1" xml:space="preserve"> SUMIF( Time!$J347:$BQ347, Time!P$28, Income!$J18:$BQ18)</f>
        <v>14448625.57871332</v>
      </c>
      <c r="Q8" s="10">
        <f ca="1" xml:space="preserve"> SUMIF( Time!$J347:$BQ347, Time!Q$28, Income!$J18:$BQ18)</f>
        <v>22040667.063158646</v>
      </c>
      <c r="R8" s="10">
        <f ca="1" xml:space="preserve"> SUMIF( Time!$J347:$BQ347, Time!R$28, Income!$J18:$BQ18)</f>
        <v>32307475.809188571</v>
      </c>
      <c r="S8" s="10">
        <f ca="1" xml:space="preserve"> SUMIF( Time!$J347:$BQ347, Time!S$28, Income!$J18:$BQ18)</f>
        <v>45710758.778079212</v>
      </c>
    </row>
    <row r="9" spans="1:19">
      <c r="E9" s="17" t="str">
        <f xml:space="preserve"> Expense!E$27</f>
        <v xml:space="preserve">Variable Operating expense </v>
      </c>
      <c r="F9" s="17">
        <f xml:space="preserve"> Expense!F$27</f>
        <v>0</v>
      </c>
      <c r="G9" s="17" t="str">
        <f xml:space="preserve"> Expense!G$27</f>
        <v>GBP</v>
      </c>
      <c r="H9" s="44">
        <f ca="1" xml:space="preserve"> Expense!H$27</f>
        <v>-23745860.732762821</v>
      </c>
      <c r="I9" s="17">
        <f xml:space="preserve"> Expense!I$27</f>
        <v>0</v>
      </c>
      <c r="J9" s="10">
        <f ca="1" xml:space="preserve"> SUMIF( Time!$J347:$BQ347, Time!J$28, Expense!$J27:$BQ27)</f>
        <v>-144000</v>
      </c>
      <c r="K9" s="10">
        <f ca="1" xml:space="preserve"> SUMIF( Time!$J347:$BQ347, Time!K$28, Expense!$J27:$BQ27)</f>
        <v>-403200</v>
      </c>
      <c r="L9" s="10">
        <f ca="1" xml:space="preserve"> SUMIF( Time!$J347:$BQ347, Time!L$28, Expense!$J27:$BQ27)</f>
        <v>-531367.68413587625</v>
      </c>
      <c r="M9" s="10">
        <f ca="1" xml:space="preserve"> SUMIF( Time!$J347:$BQ347, Time!M$28, Expense!$J27:$BQ27)</f>
        <v>-751467.38551173918</v>
      </c>
      <c r="N9" s="10">
        <f ca="1" xml:space="preserve"> SUMIF( Time!$J347:$BQ347, Time!N$28, Expense!$J27:$BQ27)</f>
        <v>-1192335.3682717527</v>
      </c>
      <c r="O9" s="10">
        <f ca="1" xml:space="preserve"> SUMIF( Time!$J347:$BQ347, Time!O$28, Expense!$J27:$BQ27)</f>
        <v>-1865814.7710234791</v>
      </c>
      <c r="P9" s="10">
        <f ca="1" xml:space="preserve"> SUMIF( Time!$J347:$BQ347, Time!P$28, Expense!$J27:$BQ27)</f>
        <v>-2603701.652265795</v>
      </c>
      <c r="Q9" s="10">
        <f ca="1" xml:space="preserve"> SUMIF( Time!$J347:$BQ347, Time!Q$28, Expense!$J27:$BQ27)</f>
        <v>-3682190.1890075249</v>
      </c>
      <c r="R9" s="10">
        <f ca="1" xml:space="preserve"> SUMIF( Time!$J347:$BQ347, Time!R$28, Expense!$J27:$BQ27)</f>
        <v>-5207403.3045315938</v>
      </c>
      <c r="S9" s="10">
        <f ca="1" xml:space="preserve"> SUMIF( Time!$J347:$BQ347, Time!S$28, Expense!$J27:$BQ27)</f>
        <v>-7364380.3780150544</v>
      </c>
    </row>
    <row r="10" spans="1:19">
      <c r="E10" s="17" t="str">
        <f xml:space="preserve"> Expense!E$20</f>
        <v xml:space="preserve">Fixed operating expense </v>
      </c>
      <c r="F10" s="17">
        <f xml:space="preserve"> Expense!F$20</f>
        <v>0</v>
      </c>
      <c r="G10" s="17" t="str">
        <f xml:space="preserve"> Expense!G$20</f>
        <v>GBP</v>
      </c>
      <c r="H10" s="44">
        <f xml:space="preserve"> Expense!H$20</f>
        <v>-3419071.4947073567</v>
      </c>
      <c r="I10" s="17">
        <f xml:space="preserve"> Expense!I$20</f>
        <v>0</v>
      </c>
      <c r="J10" s="10">
        <f xml:space="preserve"> SUMIF( Time!$J347:$BQ347, Time!J$28, Expense!$J20:$BQ20)</f>
        <v>-273282.42699726578</v>
      </c>
      <c r="K10" s="10">
        <f xml:space="preserve"> SUMIF( Time!$J347:$BQ347, Time!K$28, Expense!$J20:$BQ20)</f>
        <v>-286733.3148226901</v>
      </c>
      <c r="L10" s="10">
        <f xml:space="preserve"> SUMIF( Time!$J347:$BQ347, Time!L$28, Expense!$J20:$BQ20)</f>
        <v>-300625.50418456743</v>
      </c>
      <c r="M10" s="10">
        <f xml:space="preserve"> SUMIF( Time!$J347:$BQ347, Time!M$28, Expense!$J20:$BQ20)</f>
        <v>-315433.9845941707</v>
      </c>
      <c r="N10" s="10">
        <f xml:space="preserve"> SUMIF( Time!$J347:$BQ347, Time!N$28, Expense!$J20:$BQ20)</f>
        <v>-330696.82591176545</v>
      </c>
      <c r="O10" s="10">
        <f xml:space="preserve"> SUMIF( Time!$J347:$BQ347, Time!O$28, Expense!$J20:$BQ20)</f>
        <v>-346968.94789506798</v>
      </c>
      <c r="P10" s="10">
        <f xml:space="preserve"> SUMIF( Time!$J347:$BQ347, Time!P$28, Expense!$J20:$BQ20)</f>
        <v>-363759.61348271847</v>
      </c>
      <c r="Q10" s="10">
        <f xml:space="preserve"> SUMIF( Time!$J347:$BQ347, Time!Q$28, Expense!$J20:$BQ20)</f>
        <v>-381660.67901569919</v>
      </c>
      <c r="R10" s="10">
        <f xml:space="preserve"> SUMIF( Time!$J347:$BQ347, Time!R$28, Expense!$J20:$BQ20)</f>
        <v>-400131.02252667269</v>
      </c>
      <c r="S10" s="10">
        <f xml:space="preserve"> SUMIF( Time!$J347:$BQ347, Time!S$28, Expense!$J20:$BQ20)</f>
        <v>-419779.17527673941</v>
      </c>
    </row>
    <row r="11" spans="1:19">
      <c r="E11" s="12" t="s">
        <v>179</v>
      </c>
      <c r="F11" s="30"/>
      <c r="G11" s="12" t="s">
        <v>258</v>
      </c>
      <c r="H11" s="56">
        <f ca="1" xml:space="preserve"> SUM( J11:BQ11 )</f>
        <v>113048430.72279143</v>
      </c>
      <c r="I11" s="30"/>
      <c r="J11" s="12">
        <f ca="1" xml:space="preserve"> SUMIF( Time!$J347:$BQ347, Time!J$28, 'Income Statement'!$J11:$BQ11)</f>
        <v>-117282.42699726581</v>
      </c>
      <c r="K11" s="12">
        <f ca="1" xml:space="preserve"> SUMIF( Time!$J347:$BQ347, Time!K$28, 'Income Statement'!$J11:$BQ11)</f>
        <v>702066.6851773099</v>
      </c>
      <c r="L11" s="12">
        <f ca="1" xml:space="preserve"> SUMIF( Time!$J347:$BQ347, Time!L$28, 'Income Statement'!$J11:$BQ11)</f>
        <v>2781842.5328013971</v>
      </c>
      <c r="M11" s="12">
        <f ca="1" xml:space="preserve"> SUMIF( Time!$J347:$BQ347, Time!M$28, 'Income Statement'!$J11:$BQ11)</f>
        <v>3253098.6298940899</v>
      </c>
      <c r="N11" s="12">
        <f ca="1" xml:space="preserve"> SUMIF( Time!$J347:$BQ347, Time!N$28, 'Income Statement'!$J11:$BQ11)</f>
        <v>4992967.8058164818</v>
      </c>
      <c r="O11" s="12">
        <f ca="1" xml:space="preserve"> SUMIF( Time!$J347:$BQ347, Time!O$28, 'Income Statement'!$J11:$BQ11)</f>
        <v>7351216.281081453</v>
      </c>
      <c r="P11" s="12">
        <f ca="1" xml:space="preserve"> SUMIF( Time!$J347:$BQ347, Time!P$28, 'Income Statement'!$J11:$BQ11)</f>
        <v>11481164.312964808</v>
      </c>
      <c r="Q11" s="12">
        <f ca="1" xml:space="preserve"> SUMIF( Time!$J347:$BQ347, Time!Q$28, 'Income Statement'!$J11:$BQ11)</f>
        <v>17976816.195135422</v>
      </c>
      <c r="R11" s="12">
        <f ca="1" xml:space="preserve"> SUMIF( Time!$J347:$BQ347, Time!R$28, 'Income Statement'!$J11:$BQ11)</f>
        <v>26699941.482130308</v>
      </c>
      <c r="S11" s="12">
        <f ca="1" xml:space="preserve"> SUMIF( Time!$J347:$BQ347, Time!S$28, 'Income Statement'!$J11:$BQ11)</f>
        <v>37926599.224787429</v>
      </c>
    </row>
    <row r="13" spans="1:19">
      <c r="E13" s="17" t="str">
        <f xml:space="preserve"> Assets!E$14</f>
        <v xml:space="preserve">Depreciation this period </v>
      </c>
      <c r="F13" s="17">
        <f xml:space="preserve"> Assets!F$14</f>
        <v>0</v>
      </c>
      <c r="G13" s="17" t="str">
        <f xml:space="preserve"> Assets!G$14</f>
        <v>GBP</v>
      </c>
      <c r="H13" s="44">
        <f ca="1" xml:space="preserve"> Assets!H$14</f>
        <v>-16175470.56115992</v>
      </c>
      <c r="I13" s="17">
        <f xml:space="preserve"> Assets!I$14</f>
        <v>0</v>
      </c>
      <c r="J13" s="10">
        <f ca="1" xml:space="preserve"> SUMIF( Time!$J347:$BQ347, Time!J$28, Assets!$J14:$BQ14)</f>
        <v>36458.333333333336</v>
      </c>
      <c r="K13" s="10">
        <f ca="1" xml:space="preserve"> SUMIF( Time!$J347:$BQ347, Time!K$28, Assets!$J14:$BQ14)</f>
        <v>-116666.66666666667</v>
      </c>
      <c r="L13" s="10">
        <f ca="1" xml:space="preserve"> SUMIF( Time!$J347:$BQ347, Time!L$28, Assets!$J14:$BQ14)</f>
        <v>-386458.33333333337</v>
      </c>
      <c r="M13" s="10">
        <f ca="1" xml:space="preserve"> SUMIF( Time!$J347:$BQ347, Time!M$28, Assets!$J14:$BQ14)</f>
        <v>-401041.66666666669</v>
      </c>
      <c r="N13" s="10">
        <f ca="1" xml:space="preserve"> SUMIF( Time!$J347:$BQ347, Time!N$28, Assets!$J14:$BQ14)</f>
        <v>-704375</v>
      </c>
      <c r="O13" s="10">
        <f ca="1" xml:space="preserve"> SUMIF( Time!$J347:$BQ347, Time!O$28, Assets!$J14:$BQ14)</f>
        <v>-1064583.3333333333</v>
      </c>
      <c r="P13" s="10">
        <f ca="1" xml:space="preserve"> SUMIF( Time!$J347:$BQ347, Time!P$28, Assets!$J14:$BQ14)</f>
        <v>-1663889.3033874864</v>
      </c>
      <c r="Q13" s="10">
        <f ca="1" xml:space="preserve"> SUMIF( Time!$J347:$BQ347, Time!Q$28, Assets!$J14:$BQ14)</f>
        <v>-2586948.4234536281</v>
      </c>
      <c r="R13" s="10">
        <f ca="1" xml:space="preserve"> SUMIF( Time!$J347:$BQ347, Time!R$28, Assets!$J14:$BQ14)</f>
        <v>-3828257.297093261</v>
      </c>
      <c r="S13" s="10">
        <f ca="1" xml:space="preserve"> SUMIF( Time!$J347:$BQ347, Time!S$28, Assets!$J14:$BQ14)</f>
        <v>-5459708.8705588784</v>
      </c>
    </row>
    <row r="14" spans="1:19">
      <c r="E14" s="12" t="s">
        <v>63</v>
      </c>
      <c r="F14" s="30"/>
      <c r="G14" s="12" t="s">
        <v>258</v>
      </c>
      <c r="H14" s="56">
        <f ca="1" xml:space="preserve"> SUM( J14:BQ14 )</f>
        <v>96872960.16163151</v>
      </c>
      <c r="I14" s="30"/>
      <c r="J14" s="12">
        <f ca="1" xml:space="preserve"> SUMIF( Time!$J347:$BQ347, Time!J$28, 'Income Statement'!$J14:$BQ14)</f>
        <v>-80824.09366393245</v>
      </c>
      <c r="K14" s="12">
        <f ca="1" xml:space="preserve"> SUMIF( Time!$J347:$BQ347, Time!K$28, 'Income Statement'!$J14:$BQ14)</f>
        <v>585400.01851064316</v>
      </c>
      <c r="L14" s="12">
        <f ca="1" xml:space="preserve"> SUMIF( Time!$J347:$BQ347, Time!L$28, 'Income Statement'!$J14:$BQ14)</f>
        <v>2395384.1994680641</v>
      </c>
      <c r="M14" s="12">
        <f ca="1" xml:space="preserve"> SUMIF( Time!$J347:$BQ347, Time!M$28, 'Income Statement'!$J14:$BQ14)</f>
        <v>2852056.9632274234</v>
      </c>
      <c r="N14" s="12">
        <f ca="1" xml:space="preserve"> SUMIF( Time!$J347:$BQ347, Time!N$28, 'Income Statement'!$J14:$BQ14)</f>
        <v>4288592.8058164818</v>
      </c>
      <c r="O14" s="12">
        <f ca="1" xml:space="preserve"> SUMIF( Time!$J347:$BQ347, Time!O$28, 'Income Statement'!$J14:$BQ14)</f>
        <v>6286632.947748119</v>
      </c>
      <c r="P14" s="12">
        <f ca="1" xml:space="preserve"> SUMIF( Time!$J347:$BQ347, Time!P$28, 'Income Statement'!$J14:$BQ14)</f>
        <v>9817275.0095773209</v>
      </c>
      <c r="Q14" s="12">
        <f ca="1" xml:space="preserve"> SUMIF( Time!$J347:$BQ347, Time!Q$28, 'Income Statement'!$J14:$BQ14)</f>
        <v>15389867.771681793</v>
      </c>
      <c r="R14" s="12">
        <f ca="1" xml:space="preserve"> SUMIF( Time!$J347:$BQ347, Time!R$28, 'Income Statement'!$J14:$BQ14)</f>
        <v>22871684.185037047</v>
      </c>
      <c r="S14" s="12">
        <f ca="1" xml:space="preserve"> SUMIF( Time!$J347:$BQ347, Time!S$28, 'Income Statement'!$J14:$BQ14)</f>
        <v>32466890.354228549</v>
      </c>
    </row>
    <row r="16" spans="1:19">
      <c r="E16" s="17" t="str">
        <f xml:space="preserve"> 'Supply Chain finance'!E$42</f>
        <v xml:space="preserve">Supply Chain Finance interest </v>
      </c>
      <c r="F16" s="17">
        <f xml:space="preserve"> 'Supply Chain finance'!F$42</f>
        <v>0</v>
      </c>
      <c r="G16" s="17" t="str">
        <f xml:space="preserve"> 'Supply Chain finance'!G$42</f>
        <v>GBP</v>
      </c>
      <c r="H16" s="44">
        <f ca="1" xml:space="preserve"> 'Supply Chain finance'!H$42</f>
        <v>-162400</v>
      </c>
      <c r="I16" s="17">
        <f xml:space="preserve"> 'Supply Chain finance'!I$42</f>
        <v>0</v>
      </c>
      <c r="J16" s="10">
        <f ca="1" xml:space="preserve"> SUMIF( Time!$J347:$BQ347, Time!J$28, 'Supply Chain finance'!$J42:$BQ42)</f>
        <v>-11200</v>
      </c>
      <c r="K16" s="10">
        <f ca="1" xml:space="preserve"> SUMIF( Time!$J347:$BQ347, Time!K$28, 'Supply Chain finance'!$J42:$BQ42)</f>
        <v>-37333.333333333336</v>
      </c>
      <c r="L16" s="10">
        <f ca="1" xml:space="preserve"> SUMIF( Time!$J347:$BQ347, Time!L$28, 'Supply Chain finance'!$J42:$BQ42)</f>
        <v>-10266.666666666666</v>
      </c>
      <c r="M16" s="10">
        <f ca="1" xml:space="preserve"> SUMIF( Time!$J347:$BQ347, Time!M$28, 'Supply Chain finance'!$J42:$BQ42)</f>
        <v>-39200</v>
      </c>
      <c r="N16" s="10">
        <f ca="1" xml:space="preserve"> SUMIF( Time!$J347:$BQ347, Time!N$28, 'Supply Chain finance'!$J42:$BQ42)</f>
        <v>-56933.333333333336</v>
      </c>
      <c r="O16" s="10">
        <f ca="1" xml:space="preserve"> SUMIF( Time!$J347:$BQ347, Time!O$28, 'Supply Chain finance'!$J42:$BQ42)</f>
        <v>-7466.666666666667</v>
      </c>
      <c r="P16" s="10">
        <f ca="1" xml:space="preserve"> SUMIF( Time!$J347:$BQ347, Time!P$28, 'Supply Chain finance'!$J42:$BQ42)</f>
        <v>0</v>
      </c>
      <c r="Q16" s="10">
        <f ca="1" xml:space="preserve"> SUMIF( Time!$J347:$BQ347, Time!Q$28, 'Supply Chain finance'!$J42:$BQ42)</f>
        <v>0</v>
      </c>
      <c r="R16" s="10">
        <f ca="1" xml:space="preserve"> SUMIF( Time!$J347:$BQ347, Time!R$28, 'Supply Chain finance'!$J42:$BQ42)</f>
        <v>0</v>
      </c>
      <c r="S16" s="10">
        <f ca="1" xml:space="preserve"> SUMIF( Time!$J347:$BQ347, Time!S$28, 'Supply Chain finance'!$J42:$BQ42)</f>
        <v>0</v>
      </c>
    </row>
    <row r="17" spans="5:19">
      <c r="E17" s="17" t="str">
        <f xml:space="preserve"> 'Invoice finance'!E$41</f>
        <v xml:space="preserve">Invoice finance interest </v>
      </c>
      <c r="F17" s="17">
        <f xml:space="preserve"> 'Invoice finance'!F$41</f>
        <v>0</v>
      </c>
      <c r="G17" s="17" t="str">
        <f xml:space="preserve"> 'Invoice finance'!G$41</f>
        <v>GBP</v>
      </c>
      <c r="H17" s="44">
        <f ca="1" xml:space="preserve"> 'Invoice finance'!H$41</f>
        <v>-171477.53581682761</v>
      </c>
      <c r="I17" s="17">
        <f xml:space="preserve"> 'Invoice finance'!I$41</f>
        <v>0</v>
      </c>
      <c r="J17" s="10">
        <f ca="1" xml:space="preserve"> SUMIF( Time!$J347:$BQ347, Time!J$28, 'Invoice finance'!$J41:$BQ41)</f>
        <v>-2385</v>
      </c>
      <c r="K17" s="10">
        <f ca="1" xml:space="preserve"> SUMIF( Time!$J347:$BQ347, Time!K$28, 'Invoice finance'!$J41:$BQ41)</f>
        <v>-15300</v>
      </c>
      <c r="L17" s="10">
        <f ca="1" xml:space="preserve"> SUMIF( Time!$J347:$BQ347, Time!L$28, 'Invoice finance'!$J41:$BQ41)</f>
        <v>-46107.535816827614</v>
      </c>
      <c r="M17" s="10">
        <f ca="1" xml:space="preserve"> SUMIF( Time!$J347:$BQ347, Time!M$28, 'Invoice finance'!$J41:$BQ41)</f>
        <v>-62550</v>
      </c>
      <c r="N17" s="10">
        <f ca="1" xml:space="preserve"> SUMIF( Time!$J347:$BQ347, Time!N$28, 'Invoice finance'!$J41:$BQ41)</f>
        <v>-45135</v>
      </c>
      <c r="O17" s="10">
        <f ca="1" xml:space="preserve"> SUMIF( Time!$J347:$BQ347, Time!O$28, 'Invoice finance'!$J41:$BQ41)</f>
        <v>0</v>
      </c>
      <c r="P17" s="10">
        <f ca="1" xml:space="preserve"> SUMIF( Time!$J347:$BQ347, Time!P$28, 'Invoice finance'!$J41:$BQ41)</f>
        <v>0</v>
      </c>
      <c r="Q17" s="10">
        <f ca="1" xml:space="preserve"> SUMIF( Time!$J347:$BQ347, Time!Q$28, 'Invoice finance'!$J41:$BQ41)</f>
        <v>0</v>
      </c>
      <c r="R17" s="10">
        <f ca="1" xml:space="preserve"> SUMIF( Time!$J347:$BQ347, Time!R$28, 'Invoice finance'!$J41:$BQ41)</f>
        <v>0</v>
      </c>
      <c r="S17" s="10">
        <f ca="1" xml:space="preserve"> SUMIF( Time!$J347:$BQ347, Time!S$28, 'Invoice finance'!$J41:$BQ41)</f>
        <v>0</v>
      </c>
    </row>
    <row r="18" spans="5:19">
      <c r="E18" s="17" t="str">
        <f xml:space="preserve"> 'Asset Finance'!E$42</f>
        <v xml:space="preserve">Asset Finance interest </v>
      </c>
      <c r="F18" s="17">
        <f xml:space="preserve"> 'Asset Finance'!F$42</f>
        <v>0</v>
      </c>
      <c r="G18" s="17" t="str">
        <f xml:space="preserve"> 'Asset Finance'!G$42</f>
        <v>GBP</v>
      </c>
      <c r="H18" s="44">
        <f ca="1" xml:space="preserve"> 'Asset Finance'!H$42</f>
        <v>-336843.94463587576</v>
      </c>
      <c r="I18" s="17">
        <f xml:space="preserve"> 'Asset Finance'!I$42</f>
        <v>0</v>
      </c>
      <c r="J18" s="10">
        <f ca="1" xml:space="preserve"> SUMIF( Time!$J347:$BQ347, Time!J$28, 'Asset Finance'!$J42:$BQ42)</f>
        <v>-4383.0174575617293</v>
      </c>
      <c r="K18" s="10">
        <f ca="1" xml:space="preserve"> SUMIF( Time!$J347:$BQ347, Time!K$28, 'Asset Finance'!$J42:$BQ42)</f>
        <v>-22511.977761312679</v>
      </c>
      <c r="L18" s="10">
        <f ca="1" xml:space="preserve"> SUMIF( Time!$J347:$BQ347, Time!L$28, 'Asset Finance'!$J42:$BQ42)</f>
        <v>-55556.11140793618</v>
      </c>
      <c r="M18" s="10">
        <f ca="1" xml:space="preserve"> SUMIF( Time!$J347:$BQ347, Time!M$28, 'Asset Finance'!$J42:$BQ42)</f>
        <v>-54281.229517100117</v>
      </c>
      <c r="N18" s="10">
        <f ca="1" xml:space="preserve"> SUMIF( Time!$J347:$BQ347, Time!N$28, 'Asset Finance'!$J42:$BQ42)</f>
        <v>-57527.281456762634</v>
      </c>
      <c r="O18" s="10">
        <f ca="1" xml:space="preserve"> SUMIF( Time!$J347:$BQ347, Time!O$28, 'Asset Finance'!$J42:$BQ42)</f>
        <v>-44562.897085417819</v>
      </c>
      <c r="P18" s="10">
        <f ca="1" xml:space="preserve"> SUMIF( Time!$J347:$BQ347, Time!P$28, 'Asset Finance'!$J42:$BQ42)</f>
        <v>-34520.174539068066</v>
      </c>
      <c r="Q18" s="10">
        <f ca="1" xml:space="preserve"> SUMIF( Time!$J347:$BQ347, Time!Q$28, 'Asset Finance'!$J42:$BQ42)</f>
        <v>-26740.686269198173</v>
      </c>
      <c r="R18" s="10">
        <f ca="1" xml:space="preserve"> SUMIF( Time!$J347:$BQ347, Time!R$28, 'Asset Finance'!$J42:$BQ42)</f>
        <v>-20714.388374207443</v>
      </c>
      <c r="S18" s="10">
        <f ca="1" xml:space="preserve"> SUMIF( Time!$J347:$BQ347, Time!S$28, 'Asset Finance'!$J42:$BQ42)</f>
        <v>-16046.180767310831</v>
      </c>
    </row>
    <row r="19" spans="5:19">
      <c r="E19" s="12" t="s">
        <v>180</v>
      </c>
      <c r="F19" s="30"/>
      <c r="G19" s="12" t="s">
        <v>258</v>
      </c>
      <c r="H19" s="56">
        <f ca="1" xml:space="preserve"> SUM( J19:BQ19 )</f>
        <v>96202238.681178793</v>
      </c>
      <c r="I19" s="30"/>
      <c r="J19" s="12">
        <f ca="1" xml:space="preserve"> SUMIF( Time!$J347:$BQ347, Time!J$28, 'Income Statement'!$J19:$BQ19)</f>
        <v>-98792.111121494177</v>
      </c>
      <c r="K19" s="12">
        <f ca="1" xml:space="preserve"> SUMIF( Time!$J347:$BQ347, Time!K$28, 'Income Statement'!$J19:$BQ19)</f>
        <v>510254.70741599717</v>
      </c>
      <c r="L19" s="12">
        <f ca="1" xml:space="preserve"> SUMIF( Time!$J347:$BQ347, Time!L$28, 'Income Statement'!$J19:$BQ19)</f>
        <v>2283453.8855766337</v>
      </c>
      <c r="M19" s="12">
        <f ca="1" xml:space="preserve"> SUMIF( Time!$J347:$BQ347, Time!M$28, 'Income Statement'!$J19:$BQ19)</f>
        <v>2696025.7337103235</v>
      </c>
      <c r="N19" s="12">
        <f ca="1" xml:space="preserve"> SUMIF( Time!$J347:$BQ347, Time!N$28, 'Income Statement'!$J19:$BQ19)</f>
        <v>4128997.1910263859</v>
      </c>
      <c r="O19" s="12">
        <f ca="1" xml:space="preserve"> SUMIF( Time!$J347:$BQ347, Time!O$28, 'Income Statement'!$J19:$BQ19)</f>
        <v>6234603.383996034</v>
      </c>
      <c r="P19" s="12">
        <f ca="1" xml:space="preserve"> SUMIF( Time!$J347:$BQ347, Time!P$28, 'Income Statement'!$J19:$BQ19)</f>
        <v>9782754.8350382522</v>
      </c>
      <c r="Q19" s="12">
        <f ca="1" xml:space="preserve"> SUMIF( Time!$J347:$BQ347, Time!Q$28, 'Income Statement'!$J19:$BQ19)</f>
        <v>15363127.085412595</v>
      </c>
      <c r="R19" s="12">
        <f ca="1" xml:space="preserve"> SUMIF( Time!$J347:$BQ347, Time!R$28, 'Income Statement'!$J19:$BQ19)</f>
        <v>22850969.796662837</v>
      </c>
      <c r="S19" s="12">
        <f ca="1" xml:space="preserve"> SUMIF( Time!$J347:$BQ347, Time!S$28, 'Income Statement'!$J19:$BQ19)</f>
        <v>32450844.173461232</v>
      </c>
    </row>
    <row r="21" spans="5:19">
      <c r="E21" s="17" t="str">
        <f xml:space="preserve"> 'Corporation tax'!E$48</f>
        <v xml:space="preserve">Corporation tax </v>
      </c>
      <c r="F21" s="17">
        <f xml:space="preserve"> 'Corporation tax'!F$48</f>
        <v>0</v>
      </c>
      <c r="G21" s="17" t="str">
        <f xml:space="preserve"> 'Corporation tax'!G$48</f>
        <v>GBP</v>
      </c>
      <c r="H21" s="44">
        <f ca="1" xml:space="preserve"> 'Corporation tax'!H$48</f>
        <v>-22617966.144558292</v>
      </c>
      <c r="I21" s="17">
        <f xml:space="preserve"> 'Corporation tax'!I$48</f>
        <v>0</v>
      </c>
      <c r="J21" s="10">
        <f ca="1" xml:space="preserve"> SUMIF( Time!$J347:$BQ347, Time!J$28, 'Corporation tax'!$J48:$BQ48)</f>
        <v>0</v>
      </c>
      <c r="K21" s="10">
        <f ca="1" xml:space="preserve"> SUMIF( Time!$J347:$BQ347, Time!K$28, 'Corporation tax'!$J48:$BQ48)</f>
        <v>-125236.85163600883</v>
      </c>
      <c r="L21" s="10">
        <f ca="1" xml:space="preserve"> SUMIF( Time!$J347:$BQ347, Time!L$28, 'Corporation tax'!$J48:$BQ48)</f>
        <v>-556368.50656027952</v>
      </c>
      <c r="M21" s="10">
        <f ca="1" xml:space="preserve"> SUMIF( Time!$J347:$BQ347, Time!M$28, 'Corporation tax'!$J48:$BQ48)</f>
        <v>-650619.72597881802</v>
      </c>
      <c r="N21" s="10">
        <f ca="1" xml:space="preserve"> SUMIF( Time!$J347:$BQ347, Time!N$28, 'Corporation tax'!$J48:$BQ48)</f>
        <v>-998593.56116329634</v>
      </c>
      <c r="O21" s="10">
        <f ca="1" xml:space="preserve"> SUMIF( Time!$J347:$BQ347, Time!O$28, 'Corporation tax'!$J48:$BQ48)</f>
        <v>-1470243.2562162906</v>
      </c>
      <c r="P21" s="10">
        <f ca="1" xml:space="preserve"> SUMIF( Time!$J347:$BQ347, Time!P$28, 'Corporation tax'!$J48:$BQ48)</f>
        <v>-2296232.8625929616</v>
      </c>
      <c r="Q21" s="10">
        <f ca="1" xml:space="preserve"> SUMIF( Time!$J347:$BQ347, Time!Q$28, 'Corporation tax'!$J48:$BQ48)</f>
        <v>-3595363.2390270848</v>
      </c>
      <c r="R21" s="10">
        <f ca="1" xml:space="preserve"> SUMIF( Time!$J347:$BQ347, Time!R$28, 'Corporation tax'!$J48:$BQ48)</f>
        <v>-5339988.2964260625</v>
      </c>
      <c r="S21" s="10">
        <f ca="1" xml:space="preserve"> SUMIF( Time!$J347:$BQ347, Time!S$28, 'Corporation tax'!$J48:$BQ48)</f>
        <v>-7585319.8449574849</v>
      </c>
    </row>
    <row r="22" spans="5:19">
      <c r="E22" s="12" t="s">
        <v>37</v>
      </c>
      <c r="F22" s="30"/>
      <c r="G22" s="12" t="s">
        <v>258</v>
      </c>
      <c r="H22" s="56">
        <f ca="1" xml:space="preserve"> SUM( J22:BQ22 )</f>
        <v>73584272.536620513</v>
      </c>
      <c r="I22" s="30"/>
      <c r="J22" s="12">
        <f ca="1" xml:space="preserve"> SUMIF( Time!$J347:$BQ347, Time!J$28, 'Income Statement'!$J22:$BQ22)</f>
        <v>-98792.111121494177</v>
      </c>
      <c r="K22" s="12">
        <f ca="1" xml:space="preserve"> SUMIF( Time!$J347:$BQ347, Time!K$28, 'Income Statement'!$J22:$BQ22)</f>
        <v>385017.85577998834</v>
      </c>
      <c r="L22" s="12">
        <f ca="1" xml:space="preserve"> SUMIF( Time!$J347:$BQ347, Time!L$28, 'Income Statement'!$J22:$BQ22)</f>
        <v>1727085.3790163542</v>
      </c>
      <c r="M22" s="12">
        <f ca="1" xml:space="preserve"> SUMIF( Time!$J347:$BQ347, Time!M$28, 'Income Statement'!$J22:$BQ22)</f>
        <v>2045406.0077315052</v>
      </c>
      <c r="N22" s="12">
        <f ca="1" xml:space="preserve"> SUMIF( Time!$J347:$BQ347, Time!N$28, 'Income Statement'!$J22:$BQ22)</f>
        <v>3130403.6298630899</v>
      </c>
      <c r="O22" s="12">
        <f ca="1" xml:space="preserve"> SUMIF( Time!$J347:$BQ347, Time!O$28, 'Income Statement'!$J22:$BQ22)</f>
        <v>4764360.1277797446</v>
      </c>
      <c r="P22" s="12">
        <f ca="1" xml:space="preserve"> SUMIF( Time!$J347:$BQ347, Time!P$28, 'Income Statement'!$J22:$BQ22)</f>
        <v>7486521.9724452905</v>
      </c>
      <c r="Q22" s="12">
        <f ca="1" xml:space="preserve"> SUMIF( Time!$J347:$BQ347, Time!Q$28, 'Income Statement'!$J22:$BQ22)</f>
        <v>11767763.846385513</v>
      </c>
      <c r="R22" s="12">
        <f ca="1" xml:space="preserve"> SUMIF( Time!$J347:$BQ347, Time!R$28, 'Income Statement'!$J22:$BQ22)</f>
        <v>17510981.500236776</v>
      </c>
      <c r="S22" s="12">
        <f ca="1" xml:space="preserve"> SUMIF( Time!$J347:$BQ347, Time!S$28, 'Income Statement'!$J22:$BQ22)</f>
        <v>24865524.328503747</v>
      </c>
    </row>
  </sheetData>
  <conditionalFormatting sqref="F3">
    <cfRule type="cellIs" dxfId="124" priority="8" stopIfTrue="1" operator="notEqual">
      <formula>0</formula>
    </cfRule>
    <cfRule type="cellIs" dxfId="123" priority="9" stopIfTrue="1" operator="equal">
      <formula>""</formula>
    </cfRule>
  </conditionalFormatting>
  <conditionalFormatting sqref="J3:S3">
    <cfRule type="cellIs" dxfId="122" priority="6" stopIfTrue="1" operator="equal">
      <formula>"Construction"</formula>
    </cfRule>
    <cfRule type="cellIs" dxfId="121" priority="7" stopIfTrue="1" operator="equal">
      <formula>"Operations"</formula>
    </cfRule>
  </conditionalFormatting>
  <conditionalFormatting sqref="J3:S3">
    <cfRule type="cellIs" dxfId="120" priority="5" operator="equal">
      <formula>"Fin Close"</formula>
    </cfRule>
  </conditionalFormatting>
  <conditionalFormatting sqref="J3:S3">
    <cfRule type="cellIs" dxfId="119" priority="3" operator="equal">
      <formula>"PPA ext."</formula>
    </cfRule>
    <cfRule type="cellIs" dxfId="118" priority="4" operator="equal">
      <formula>"Delay"</formula>
    </cfRule>
  </conditionalFormatting>
  <conditionalFormatting sqref="F2">
    <cfRule type="cellIs" dxfId="117" priority="1" stopIfTrue="1" operator="notEqual">
      <formula>0</formula>
    </cfRule>
    <cfRule type="cellIs" dxfId="116"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59" width="13.21875" bestFit="1" customWidth="1"/>
    <col min="60" max="69" width="14.44140625" bestFit="1" customWidth="1"/>
  </cols>
  <sheetData>
    <row r="1" spans="1:69" s="73" customFormat="1" ht="25">
      <c r="A1" s="46" t="str">
        <f ca="1" xml:space="preserve"> RIGHT(CELL("filename", A1), LEN(CELL("filename", A1)) - SEARCH("]", CELL("filename", A1)))</f>
        <v>Balance Sheet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Assets!E$23</f>
        <v>Inventory</v>
      </c>
      <c r="F8" s="17">
        <f xml:space="preserve"> Assets!F$23</f>
        <v>0</v>
      </c>
      <c r="G8" s="17" t="str">
        <f xml:space="preserve"> Assets!G$23</f>
        <v>GBP</v>
      </c>
      <c r="H8" s="44">
        <f xml:space="preserve"> Assets!H$23</f>
        <v>0</v>
      </c>
      <c r="I8" s="17">
        <f xml:space="preserve"> Assets!I$23</f>
        <v>0</v>
      </c>
      <c r="J8" s="10">
        <f ca="1">Assets!J$23</f>
        <v>0</v>
      </c>
      <c r="K8" s="10">
        <f ca="1">Assets!K$23</f>
        <v>0</v>
      </c>
      <c r="L8" s="10">
        <f ca="1">Assets!L$23</f>
        <v>350000</v>
      </c>
      <c r="M8" s="10">
        <f ca="1">Assets!M$23</f>
        <v>700000</v>
      </c>
      <c r="N8" s="10">
        <f ca="1">Assets!N$23</f>
        <v>1050000</v>
      </c>
      <c r="O8" s="10">
        <f ca="1">Assets!O$23</f>
        <v>1050000</v>
      </c>
      <c r="P8" s="10">
        <f ca="1">Assets!P$23</f>
        <v>1400000</v>
      </c>
      <c r="Q8" s="10">
        <f ca="1">Assets!Q$23</f>
        <v>1400000</v>
      </c>
      <c r="R8" s="10">
        <f ca="1">Assets!R$23</f>
        <v>1750000</v>
      </c>
      <c r="S8" s="10">
        <f ca="1">Assets!S$23</f>
        <v>1750000</v>
      </c>
      <c r="T8" s="10">
        <f ca="1">Assets!T$23</f>
        <v>1750000</v>
      </c>
      <c r="U8" s="10">
        <f ca="1">Assets!U$23</f>
        <v>1750000</v>
      </c>
      <c r="V8" s="10">
        <f ca="1">Assets!V$23</f>
        <v>1750000</v>
      </c>
      <c r="W8" s="10">
        <f ca="1">Assets!W$23</f>
        <v>1750000</v>
      </c>
      <c r="X8" s="10">
        <f ca="1">Assets!X$23</f>
        <v>1750000</v>
      </c>
      <c r="Y8" s="10">
        <f ca="1">Assets!Y$23</f>
        <v>1925000</v>
      </c>
      <c r="Z8" s="10">
        <f ca="1">Assets!Z$23</f>
        <v>2100000</v>
      </c>
      <c r="AA8" s="10">
        <f ca="1">Assets!AA$23</f>
        <v>2275000</v>
      </c>
      <c r="AB8" s="10">
        <f ca="1">Assets!AB$23</f>
        <v>2625000</v>
      </c>
      <c r="AC8" s="10">
        <f ca="1">Assets!AC$23</f>
        <v>2975000</v>
      </c>
      <c r="AD8" s="10">
        <f ca="1">Assets!AD$23</f>
        <v>3150000</v>
      </c>
      <c r="AE8" s="10">
        <f ca="1">Assets!AE$23</f>
        <v>3500000</v>
      </c>
      <c r="AF8" s="10">
        <f ca="1">Assets!AF$23</f>
        <v>3850000</v>
      </c>
      <c r="AG8" s="10">
        <f ca="1">Assets!AG$23</f>
        <v>4200000</v>
      </c>
      <c r="AH8" s="10">
        <f ca="1">Assets!AH$23</f>
        <v>4515000</v>
      </c>
      <c r="AI8" s="10">
        <f ca="1">Assets!AI$23</f>
        <v>5005000</v>
      </c>
      <c r="AJ8" s="10">
        <f ca="1">Assets!AJ$23</f>
        <v>5320000</v>
      </c>
      <c r="AK8" s="10">
        <f ca="1">Assets!AK$23</f>
        <v>5810000</v>
      </c>
      <c r="AL8" s="10">
        <f ca="1">Assets!AL$23</f>
        <v>6230000</v>
      </c>
      <c r="AM8" s="10">
        <f ca="1">Assets!AM$23</f>
        <v>6650000</v>
      </c>
      <c r="AN8" s="10">
        <f ca="1">Assets!AN$23</f>
        <v>7245000</v>
      </c>
      <c r="AO8" s="10">
        <f ca="1">Assets!AO$23</f>
        <v>7770000</v>
      </c>
      <c r="AP8" s="10">
        <f ca="1">Assets!AP$23</f>
        <v>8295000</v>
      </c>
      <c r="AQ8" s="10">
        <f ca="1">Assets!AQ$23</f>
        <v>8995000</v>
      </c>
      <c r="AR8" s="10">
        <f ca="1">Assets!AR$23</f>
        <v>9520000</v>
      </c>
      <c r="AS8" s="10">
        <f ca="1">Assets!AS$23</f>
        <v>10220000</v>
      </c>
      <c r="AT8" s="10">
        <f ca="1">Assets!AT$23</f>
        <v>11084593.958487123</v>
      </c>
      <c r="AU8" s="10">
        <f ca="1">Assets!AU$23</f>
        <v>11763163.100032983</v>
      </c>
      <c r="AV8" s="10">
        <f ca="1">Assets!AV$23</f>
        <v>12605051.854907507</v>
      </c>
      <c r="AW8" s="10">
        <f ca="1">Assets!AW$23</f>
        <v>13434565.671175905</v>
      </c>
      <c r="AX8" s="10">
        <f ca="1">Assets!AX$23</f>
        <v>14425968.696696149</v>
      </c>
      <c r="AY8" s="10">
        <f ca="1">Assets!AY$23</f>
        <v>15403481.323280858</v>
      </c>
      <c r="AZ8" s="10">
        <f ca="1">Assets!AZ$23</f>
        <v>16366277.584827438</v>
      </c>
      <c r="BA8" s="10">
        <f ca="1">Assets!BA$23</f>
        <v>17488482.400733002</v>
      </c>
      <c r="BB8" s="10">
        <f ca="1">Assets!BB$23</f>
        <v>18594168.6553942</v>
      </c>
      <c r="BC8" s="10">
        <f ca="1">Assets!BC$23</f>
        <v>19857354.104045082</v>
      </c>
      <c r="BD8" s="10">
        <f ca="1">Assets!BD$23</f>
        <v>21101998.094606489</v>
      </c>
      <c r="BE8" s="10">
        <f ca="1">Assets!BE$23</f>
        <v>22501998.094606489</v>
      </c>
      <c r="BF8" s="10">
        <f ca="1">Assets!BF$23</f>
        <v>23849686.011580735</v>
      </c>
      <c r="BG8" s="10">
        <f ca="1">Assets!BG$23</f>
        <v>25350324.294672456</v>
      </c>
      <c r="BH8" s="10">
        <f ca="1">Assets!BH$23</f>
        <v>27002601.804421503</v>
      </c>
      <c r="BI8" s="10">
        <f ca="1">Assets!BI$23</f>
        <v>28630129.436958298</v>
      </c>
      <c r="BJ8" s="10">
        <f ca="1">Assets!BJ$23</f>
        <v>30343435.487998787</v>
      </c>
      <c r="BK8" s="10">
        <f ca="1">Assets!BK$23</f>
        <v>32203960.741168205</v>
      </c>
      <c r="BL8" s="10">
        <f ca="1">Assets!BL$23</f>
        <v>34210053.264261365</v>
      </c>
      <c r="BM8" s="10">
        <f ca="1">Assets!BM$23</f>
        <v>36121962.896072492</v>
      </c>
      <c r="BN8" s="10">
        <f ca="1">Assets!BN$23</f>
        <v>38350835.405394889</v>
      </c>
      <c r="BO8" s="10">
        <f ca="1">Assets!BO$23</f>
        <v>40544706.302696653</v>
      </c>
      <c r="BP8" s="10">
        <f ca="1">Assets!BP$23</f>
        <v>43051494.283819467</v>
      </c>
      <c r="BQ8" s="10">
        <f ca="1">Assets!BQ$23</f>
        <v>45518994.283819467</v>
      </c>
    </row>
    <row r="9" spans="1:6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Assets!J$32</f>
        <v>7291.666666666667</v>
      </c>
      <c r="K9" s="10">
        <f ca="1">Assets!K$32</f>
        <v>7291.666666666667</v>
      </c>
      <c r="L9" s="10">
        <f ca="1">Assets!L$32</f>
        <v>21875</v>
      </c>
      <c r="M9" s="10">
        <f ca="1">Assets!M$32</f>
        <v>36458.333333333336</v>
      </c>
      <c r="N9" s="10">
        <f ca="1">Assets!N$32</f>
        <v>51041.666666666672</v>
      </c>
      <c r="O9" s="10">
        <f ca="1">Assets!O$32</f>
        <v>36458.333333333336</v>
      </c>
      <c r="P9" s="10">
        <f ca="1">Assets!P$32</f>
        <v>36458.333333333336</v>
      </c>
      <c r="Q9" s="10">
        <f ca="1">Assets!Q$32</f>
        <v>21875</v>
      </c>
      <c r="R9" s="10">
        <f ca="1">Assets!R$32</f>
        <v>21875</v>
      </c>
      <c r="S9" s="10">
        <f ca="1">Assets!S$32</f>
        <v>-7291.6666666666679</v>
      </c>
      <c r="T9" s="10">
        <f ca="1">Assets!T$32</f>
        <v>-36458.333333333336</v>
      </c>
      <c r="U9" s="10">
        <f ca="1">Assets!U$32</f>
        <v>-80208.333333333343</v>
      </c>
      <c r="V9" s="10">
        <f ca="1">Assets!V$32</f>
        <v>-138541.66666666669</v>
      </c>
      <c r="W9" s="10">
        <f ca="1">Assets!W$32</f>
        <v>-196875.00000000003</v>
      </c>
      <c r="X9" s="10">
        <f ca="1">Assets!X$32</f>
        <v>-269791.66666666669</v>
      </c>
      <c r="Y9" s="10">
        <f ca="1">Assets!Y$32</f>
        <v>-335416.66666666669</v>
      </c>
      <c r="Z9" s="10">
        <f ca="1">Assets!Z$32</f>
        <v>-401041.66666666669</v>
      </c>
      <c r="AA9" s="10">
        <f ca="1">Assets!AA$32</f>
        <v>-466666.66666666669</v>
      </c>
      <c r="AB9" s="10">
        <f ca="1">Assets!AB$32</f>
        <v>-525000</v>
      </c>
      <c r="AC9" s="10">
        <f ca="1">Assets!AC$32</f>
        <v>-583333.33333333337</v>
      </c>
      <c r="AD9" s="10">
        <f ca="1">Assets!AD$32</f>
        <v>-648958.33333333337</v>
      </c>
      <c r="AE9" s="10">
        <f ca="1">Assets!AE$32</f>
        <v>-714583.33333333337</v>
      </c>
      <c r="AF9" s="10">
        <f ca="1">Assets!AF$32</f>
        <v>-787500</v>
      </c>
      <c r="AG9" s="10">
        <f ca="1">Assets!AG$32</f>
        <v>-867708.33333333337</v>
      </c>
      <c r="AH9" s="10">
        <f ca="1">Assets!AH$32</f>
        <v>-927500</v>
      </c>
      <c r="AI9" s="10">
        <f ca="1">Assets!AI$32</f>
        <v>-993125</v>
      </c>
      <c r="AJ9" s="10">
        <f ca="1">Assets!AJ$32</f>
        <v>-1071875</v>
      </c>
      <c r="AK9" s="10">
        <f ca="1">Assets!AK$32</f>
        <v>-1156458.3333333333</v>
      </c>
      <c r="AL9" s="10">
        <f ca="1">Assets!AL$32</f>
        <v>-1184166.6666666665</v>
      </c>
      <c r="AM9" s="10">
        <f ca="1">Assets!AM$32</f>
        <v>-1222083.3333333333</v>
      </c>
      <c r="AN9" s="10">
        <f ca="1">Assets!AN$32</f>
        <v>-1262916.6666666665</v>
      </c>
      <c r="AO9" s="10">
        <f ca="1">Assets!AO$32</f>
        <v>-1251249.9999999998</v>
      </c>
      <c r="AP9" s="10">
        <f ca="1">Assets!AP$32</f>
        <v>-1246874.9999999998</v>
      </c>
      <c r="AQ9" s="10">
        <f ca="1">Assets!AQ$32</f>
        <v>-1249791.6666666665</v>
      </c>
      <c r="AR9" s="10">
        <f ca="1">Assets!AR$32</f>
        <v>-1274583.3333333333</v>
      </c>
      <c r="AS9" s="10">
        <f ca="1">Assets!AS$32</f>
        <v>-1306666.6666666665</v>
      </c>
      <c r="AT9" s="10">
        <f ca="1">Assets!AT$32</f>
        <v>-1342927.2918204565</v>
      </c>
      <c r="AU9" s="10">
        <f ca="1">Assets!AU$32</f>
        <v>-1396896.1816366129</v>
      </c>
      <c r="AV9" s="10">
        <f ca="1">Assets!AV$32</f>
        <v>-1452875.0656791776</v>
      </c>
      <c r="AW9" s="10">
        <f ca="1">Assets!AW$32</f>
        <v>-1524266.0425687211</v>
      </c>
      <c r="AX9" s="10">
        <f ca="1">Assets!AX$32</f>
        <v>-1595234.304387961</v>
      </c>
      <c r="AY9" s="10">
        <f ca="1">Assets!AY$32</f>
        <v>-1679037.2933350091</v>
      </c>
      <c r="AZ9" s="10">
        <f ca="1">Assets!AZ$32</f>
        <v>-1781561.9433516257</v>
      </c>
      <c r="BA9" s="10">
        <f ca="1">Assets!BA$32</f>
        <v>-1886736.6586250009</v>
      </c>
      <c r="BB9" s="10">
        <f ca="1">Assets!BB$32</f>
        <v>-2007568.0133167424</v>
      </c>
      <c r="BC9" s="10">
        <f ca="1">Assets!BC$32</f>
        <v>-2135093.8226090488</v>
      </c>
      <c r="BD9" s="10">
        <f ca="1">Assets!BD$32</f>
        <v>-2282127.5675056675</v>
      </c>
      <c r="BE9" s="10">
        <f ca="1">Assets!BE$32</f>
        <v>-2439502.4881142713</v>
      </c>
      <c r="BF9" s="10">
        <f ca="1">Assets!BF$32</f>
        <v>-2581023.6590304547</v>
      </c>
      <c r="BG9" s="10">
        <f ca="1">Assets!BG$32</f>
        <v>-2734773.8592713713</v>
      </c>
      <c r="BH9" s="10">
        <f ca="1">Assets!BH$32</f>
        <v>-2898523.2146317712</v>
      </c>
      <c r="BI9" s="10">
        <f ca="1">Assets!BI$32</f>
        <v>-3084492.5890194611</v>
      </c>
      <c r="BJ9" s="10">
        <f ca="1">Assets!BJ$32</f>
        <v>-3219887.3665998778</v>
      </c>
      <c r="BK9" s="10">
        <f ca="1">Assets!BK$32</f>
        <v>-3369722.4317692439</v>
      </c>
      <c r="BL9" s="10">
        <f ca="1">Assets!BL$32</f>
        <v>-3531188.3190777469</v>
      </c>
      <c r="BM9" s="10">
        <f ca="1">Assets!BM$32</f>
        <v>-3652891.8368997667</v>
      </c>
      <c r="BN9" s="10">
        <f ca="1">Assets!BN$32</f>
        <v>-3784762.8002251862</v>
      </c>
      <c r="BO9" s="10">
        <f ca="1">Assets!BO$32</f>
        <v>-3938043.5060850689</v>
      </c>
      <c r="BP9" s="10">
        <f ca="1">Assets!BP$32</f>
        <v>-4101902.5831535766</v>
      </c>
      <c r="BQ9" s="10">
        <f ca="1">Assets!BQ$32</f>
        <v>-4294464.8449793877</v>
      </c>
    </row>
    <row r="10" spans="1:6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'Working Capital'!J$45</f>
        <v>0</v>
      </c>
      <c r="K10" s="10">
        <f ca="1">'Working Capital'!K$45</f>
        <v>172800</v>
      </c>
      <c r="L10" s="10">
        <f ca="1">'Working Capital'!L$45</f>
        <v>345600</v>
      </c>
      <c r="M10" s="10">
        <f ca="1">'Working Capital'!M$45</f>
        <v>345600</v>
      </c>
      <c r="N10" s="10">
        <f ca="1">'Working Capital'!N$45</f>
        <v>345600</v>
      </c>
      <c r="O10" s="10">
        <f ca="1">'Working Capital'!O$45</f>
        <v>518400</v>
      </c>
      <c r="P10" s="10">
        <f ca="1">'Working Capital'!P$45</f>
        <v>1036800</v>
      </c>
      <c r="Q10" s="10">
        <f ca="1">'Working Capital'!Q$45</f>
        <v>1209600</v>
      </c>
      <c r="R10" s="10">
        <f ca="1">'Working Capital'!R$45</f>
        <v>1036800</v>
      </c>
      <c r="S10" s="10">
        <f ca="1">'Working Capital'!S$45</f>
        <v>518400</v>
      </c>
      <c r="T10" s="10">
        <f ca="1">'Working Capital'!T$45</f>
        <v>1728000</v>
      </c>
      <c r="U10" s="10">
        <f ca="1">'Working Capital'!U$45</f>
        <v>1728000</v>
      </c>
      <c r="V10" s="10">
        <f ca="1">'Working Capital'!V$45</f>
        <v>1728000</v>
      </c>
      <c r="W10" s="10">
        <f ca="1">'Working Capital'!W$45</f>
        <v>3161776.1135264309</v>
      </c>
      <c r="X10" s="10">
        <f ca="1">'Working Capital'!X$45</f>
        <v>2073600</v>
      </c>
      <c r="Y10" s="10">
        <f ca="1">'Working Capital'!Y$45</f>
        <v>2342882.1571016493</v>
      </c>
      <c r="Z10" s="10">
        <f ca="1">'Working Capital'!Z$45</f>
        <v>2073600.0000000005</v>
      </c>
      <c r="AA10" s="10">
        <f ca="1">'Working Capital'!AA$45</f>
        <v>716141.72937192069</v>
      </c>
      <c r="AB10" s="10">
        <f ca="1">'Working Capital'!AB$45</f>
        <v>1036800.0000000005</v>
      </c>
      <c r="AC10" s="10">
        <f ca="1">'Working Capital'!AC$45</f>
        <v>1209600.0000000005</v>
      </c>
      <c r="AD10" s="10">
        <f ca="1">'Working Capital'!AD$45</f>
        <v>1036800.0000000005</v>
      </c>
      <c r="AE10" s="10">
        <f ca="1">'Working Capital'!AE$45</f>
        <v>518400.00000000047</v>
      </c>
      <c r="AF10" s="10">
        <f ca="1">'Working Capital'!AF$45</f>
        <v>2592000.0000000005</v>
      </c>
      <c r="AG10" s="10">
        <f ca="1">'Working Capital'!AG$45</f>
        <v>3456000.0000000005</v>
      </c>
      <c r="AH10" s="10">
        <f ca="1">'Working Capital'!AH$45</f>
        <v>3456000</v>
      </c>
      <c r="AI10" s="10">
        <f ca="1">'Working Capital'!AI$45</f>
        <v>5580976.1135264309</v>
      </c>
      <c r="AJ10" s="10">
        <f ca="1">'Working Capital'!AJ$45</f>
        <v>5184000</v>
      </c>
      <c r="AK10" s="10">
        <f ca="1">'Working Capital'!AK$45</f>
        <v>4589282.1571016489</v>
      </c>
      <c r="AL10" s="10">
        <f ca="1">'Working Capital'!AL$45</f>
        <v>4320000</v>
      </c>
      <c r="AM10" s="10">
        <f ca="1">'Working Capital'!AM$45</f>
        <v>3653741.7293719202</v>
      </c>
      <c r="AN10" s="10">
        <f ca="1">'Working Capital'!AN$45</f>
        <v>3456000</v>
      </c>
      <c r="AO10" s="10">
        <f ca="1">'Working Capital'!AO$45</f>
        <v>3456000</v>
      </c>
      <c r="AP10" s="10">
        <f ca="1">'Working Capital'!AP$45</f>
        <v>4320000</v>
      </c>
      <c r="AQ10" s="10">
        <f ca="1">'Working Capital'!AQ$45</f>
        <v>4320000</v>
      </c>
      <c r="AR10" s="10">
        <f ca="1">'Working Capital'!AR$45</f>
        <v>5184000</v>
      </c>
      <c r="AS10" s="10">
        <f ca="1">'Working Capital'!AS$45</f>
        <v>6912000</v>
      </c>
      <c r="AT10" s="10">
        <f ca="1">'Working Capital'!AT$45</f>
        <v>6912000</v>
      </c>
      <c r="AU10" s="10">
        <f ca="1">'Working Capital'!AU$45</f>
        <v>8640000</v>
      </c>
      <c r="AV10" s="10">
        <f ca="1">'Working Capital'!AV$45</f>
        <v>10368000</v>
      </c>
      <c r="AW10" s="10">
        <f ca="1">'Working Capital'!AW$45</f>
        <v>9504000</v>
      </c>
      <c r="AX10" s="10">
        <f ca="1">'Working Capital'!AX$45</f>
        <v>10368000</v>
      </c>
      <c r="AY10" s="10">
        <f ca="1">'Working Capital'!AY$45</f>
        <v>11232000</v>
      </c>
      <c r="AZ10" s="10">
        <f ca="1">'Working Capital'!AZ$45</f>
        <v>11232000</v>
      </c>
      <c r="BA10" s="10">
        <f ca="1">'Working Capital'!BA$45</f>
        <v>12960000</v>
      </c>
      <c r="BB10" s="10">
        <f ca="1">'Working Capital'!BB$45</f>
        <v>13824000</v>
      </c>
      <c r="BC10" s="10">
        <f ca="1">'Working Capital'!BC$45</f>
        <v>13824000</v>
      </c>
      <c r="BD10" s="10">
        <f ca="1">'Working Capital'!BD$45</f>
        <v>14688000</v>
      </c>
      <c r="BE10" s="10">
        <f ca="1">'Working Capital'!BE$45</f>
        <v>16416000</v>
      </c>
      <c r="BF10" s="10">
        <f ca="1">'Working Capital'!BF$45</f>
        <v>17280000</v>
      </c>
      <c r="BG10" s="10">
        <f ca="1">'Working Capital'!BG$45</f>
        <v>18144000</v>
      </c>
      <c r="BH10" s="10">
        <f ca="1">'Working Capital'!BH$45</f>
        <v>19872000</v>
      </c>
      <c r="BI10" s="10">
        <f ca="1">'Working Capital'!BI$45</f>
        <v>20736000</v>
      </c>
      <c r="BJ10" s="10">
        <f ca="1">'Working Capital'!BJ$45</f>
        <v>22464000</v>
      </c>
      <c r="BK10" s="10">
        <f ca="1">'Working Capital'!BK$45</f>
        <v>23328000</v>
      </c>
      <c r="BL10" s="10">
        <f ca="1">'Working Capital'!BL$45</f>
        <v>24192000</v>
      </c>
      <c r="BM10" s="10">
        <f ca="1">'Working Capital'!BM$45</f>
        <v>26784000</v>
      </c>
      <c r="BN10" s="10">
        <f ca="1">'Working Capital'!BN$45</f>
        <v>27648000</v>
      </c>
      <c r="BO10" s="10">
        <f ca="1">'Working Capital'!BO$45</f>
        <v>29376000</v>
      </c>
      <c r="BP10" s="10">
        <f ca="1">'Working Capital'!BP$45</f>
        <v>31104000.000000004</v>
      </c>
      <c r="BQ10" s="10">
        <f ca="1">'Working Capital'!BQ$45</f>
        <v>32832000</v>
      </c>
    </row>
    <row r="11" spans="1:6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Financials!J$13</f>
        <v>-65340</v>
      </c>
      <c r="K11" s="10">
        <f ca="1">Financials!K$13</f>
        <v>71320</v>
      </c>
      <c r="L11" s="10">
        <f ca="1">Financials!L$13</f>
        <v>193176.66666666663</v>
      </c>
      <c r="M11" s="10">
        <f ca="1">Financials!M$13</f>
        <v>485520.54065655801</v>
      </c>
      <c r="N11" s="10">
        <f ca="1">Financials!N$13</f>
        <v>744475.49392885691</v>
      </c>
      <c r="O11" s="10">
        <f ca="1">Financials!O$13</f>
        <v>1332026.2822021695</v>
      </c>
      <c r="P11" s="10">
        <f ca="1">Financials!P$13</f>
        <v>1614348.9419903029</v>
      </c>
      <c r="Q11" s="10">
        <f ca="1">Financials!Q$13</f>
        <v>1872187.0585899514</v>
      </c>
      <c r="R11" s="10">
        <f ca="1">Financials!R$13</f>
        <v>1906847.9353443733</v>
      </c>
      <c r="S11" s="10">
        <f ca="1">Financials!S$13</f>
        <v>2069733.9779660082</v>
      </c>
      <c r="T11" s="10">
        <f ca="1">Financials!T$13</f>
        <v>1943782.0255325965</v>
      </c>
      <c r="U11" s="10">
        <f ca="1">Financials!U$13</f>
        <v>1957540.9211432522</v>
      </c>
      <c r="V11" s="10">
        <f ca="1">Financials!V$13</f>
        <v>3371414.3072090307</v>
      </c>
      <c r="W11" s="10">
        <f ca="1">Financials!W$13</f>
        <v>3341287.6750310166</v>
      </c>
      <c r="X11" s="10">
        <f ca="1">Financials!X$13</f>
        <v>4242935.1976549812</v>
      </c>
      <c r="Y11" s="10">
        <f ca="1">Financials!Y$13</f>
        <v>5289249.8100747652</v>
      </c>
      <c r="Z11" s="10">
        <f ca="1">Financials!Z$13</f>
        <v>5878606.5808998188</v>
      </c>
      <c r="AA11" s="10">
        <f ca="1">Financials!AA$13</f>
        <v>7090626.989580051</v>
      </c>
      <c r="AB11" s="10">
        <f ca="1">Financials!AB$13</f>
        <v>7379084.5286071366</v>
      </c>
      <c r="AC11" s="10">
        <f ca="1">Financials!AC$13</f>
        <v>7636516.3688325454</v>
      </c>
      <c r="AD11" s="10">
        <f ca="1">Financials!AD$13</f>
        <v>8109084.5977086704</v>
      </c>
      <c r="AE11" s="10">
        <f ca="1">Financials!AE$13</f>
        <v>8413056.4745804574</v>
      </c>
      <c r="AF11" s="10">
        <f ca="1">Financials!AF$13</f>
        <v>8755744.0039493926</v>
      </c>
      <c r="AG11" s="10">
        <f ca="1">Financials!AG$13</f>
        <v>8329011.129965825</v>
      </c>
      <c r="AH11" s="10">
        <f ca="1">Financials!AH$13</f>
        <v>10278157.193556726</v>
      </c>
      <c r="AI11" s="10">
        <f ca="1">Financials!AI$13</f>
        <v>10622427.227291511</v>
      </c>
      <c r="AJ11" s="10">
        <f ca="1">Financials!AJ$13</f>
        <v>10927461.114585085</v>
      </c>
      <c r="AK11" s="10">
        <f ca="1">Financials!AK$13</f>
        <v>10539192.102519272</v>
      </c>
      <c r="AL11" s="10">
        <f ca="1">Financials!AL$13</f>
        <v>11613712.802068811</v>
      </c>
      <c r="AM11" s="10">
        <f ca="1">Financials!AM$13</f>
        <v>12151204.616155239</v>
      </c>
      <c r="AN11" s="10">
        <f ca="1">Financials!AN$13</f>
        <v>12885600.038111474</v>
      </c>
      <c r="AO11" s="10">
        <f ca="1">Financials!AO$13</f>
        <v>13096984.831451703</v>
      </c>
      <c r="AP11" s="10">
        <f ca="1">Financials!AP$13</f>
        <v>13482662.303804016</v>
      </c>
      <c r="AQ11" s="10">
        <f ca="1">Financials!AQ$13</f>
        <v>14036695.259712268</v>
      </c>
      <c r="AR11" s="10">
        <f ca="1">Financials!AR$13</f>
        <v>15492636.135125874</v>
      </c>
      <c r="AS11" s="10">
        <f ca="1">Financials!AS$13</f>
        <v>15289313.001587993</v>
      </c>
      <c r="AT11" s="10">
        <f ca="1">Financials!AT$13</f>
        <v>17318995.400375046</v>
      </c>
      <c r="AU11" s="10">
        <f ca="1">Financials!AU$13</f>
        <v>19378657.180336289</v>
      </c>
      <c r="AV11" s="10">
        <f ca="1">Financials!AV$13</f>
        <v>20035854.700380128</v>
      </c>
      <c r="AW11" s="10">
        <f ca="1">Financials!AW$13</f>
        <v>20534671.253194194</v>
      </c>
      <c r="AX11" s="10">
        <f ca="1">Financials!AX$13</f>
        <v>24138627.817100395</v>
      </c>
      <c r="AY11" s="10">
        <f ca="1">Financials!AY$13</f>
        <v>24927166.384974305</v>
      </c>
      <c r="AZ11" s="10">
        <f ca="1">Financials!AZ$13</f>
        <v>29039229.424874354</v>
      </c>
      <c r="BA11" s="10">
        <f ca="1">Financials!BA$13</f>
        <v>32348710.391419355</v>
      </c>
      <c r="BB11" s="10">
        <f ca="1">Financials!BB$13</f>
        <v>34263452.75993482</v>
      </c>
      <c r="BC11" s="10">
        <f ca="1">Financials!BC$13</f>
        <v>39027112.172513455</v>
      </c>
      <c r="BD11" s="10">
        <f ca="1">Financials!BD$13</f>
        <v>43603968.545262851</v>
      </c>
      <c r="BE11" s="10">
        <f ca="1">Financials!BE$13</f>
        <v>45603976.907935813</v>
      </c>
      <c r="BF11" s="10">
        <f ca="1">Financials!BF$13</f>
        <v>50903420.819390401</v>
      </c>
      <c r="BG11" s="10">
        <f ca="1">Financials!BG$13</f>
        <v>56819624.399427071</v>
      </c>
      <c r="BH11" s="10">
        <f ca="1">Financials!BH$13</f>
        <v>59497763.603100367</v>
      </c>
      <c r="BI11" s="10">
        <f ca="1">Financials!BI$13</f>
        <v>58667779.217042223</v>
      </c>
      <c r="BJ11" s="10">
        <f ca="1">Financials!BJ$13</f>
        <v>65896571.923300467</v>
      </c>
      <c r="BK11" s="10">
        <f ca="1">Financials!BK$13</f>
        <v>68975317.157275334</v>
      </c>
      <c r="BL11" s="10">
        <f ca="1">Financials!BL$13</f>
        <v>77553340.110263273</v>
      </c>
      <c r="BM11" s="10">
        <f ca="1">Financials!BM$13</f>
        <v>85052108.092245489</v>
      </c>
      <c r="BN11" s="10">
        <f ca="1">Financials!BN$13</f>
        <v>89496561.020795286</v>
      </c>
      <c r="BO11" s="10">
        <f ca="1">Financials!BO$13</f>
        <v>99184293.256211728</v>
      </c>
      <c r="BP11" s="10">
        <f ca="1">Financials!BP$13</f>
        <v>108538579.20224711</v>
      </c>
      <c r="BQ11" s="10">
        <f ca="1">Financials!BQ$13</f>
        <v>114153158.88072786</v>
      </c>
    </row>
    <row r="12" spans="1:69">
      <c r="E12" s="12" t="s">
        <v>86</v>
      </c>
      <c r="F12" s="30"/>
      <c r="G12" s="12" t="s">
        <v>258</v>
      </c>
      <c r="H12" s="56"/>
      <c r="I12" s="30"/>
      <c r="J12" s="12">
        <f t="shared" ref="J12:BQ12" ca="1" si="0" xml:space="preserve"> SUM( J8:J11 )</f>
        <v>-58048.333333333336</v>
      </c>
      <c r="K12" s="12">
        <f t="shared" ca="1" si="0"/>
        <v>251411.66666666666</v>
      </c>
      <c r="L12" s="12">
        <f t="shared" ca="1" si="0"/>
        <v>910651.66666666663</v>
      </c>
      <c r="M12" s="12">
        <f t="shared" ca="1" si="0"/>
        <v>1567578.8739898915</v>
      </c>
      <c r="N12" s="12">
        <f t="shared" ca="1" si="0"/>
        <v>2191117.1605955237</v>
      </c>
      <c r="O12" s="12">
        <f t="shared" ca="1" si="0"/>
        <v>2936884.6155355028</v>
      </c>
      <c r="P12" s="12">
        <f t="shared" ca="1" si="0"/>
        <v>4087607.2753236359</v>
      </c>
      <c r="Q12" s="12">
        <f t="shared" ca="1" si="0"/>
        <v>4503662.0585899511</v>
      </c>
      <c r="R12" s="12">
        <f t="shared" ca="1" si="0"/>
        <v>4715522.9353443738</v>
      </c>
      <c r="S12" s="12">
        <f t="shared" ca="1" si="0"/>
        <v>4330842.3112993408</v>
      </c>
      <c r="T12" s="12">
        <f t="shared" ca="1" si="0"/>
        <v>5385323.6921992637</v>
      </c>
      <c r="U12" s="12">
        <f t="shared" ca="1" si="0"/>
        <v>5355332.5878099194</v>
      </c>
      <c r="V12" s="12">
        <f t="shared" ca="1" si="0"/>
        <v>6710872.6405423637</v>
      </c>
      <c r="W12" s="12">
        <f t="shared" ca="1" si="0"/>
        <v>8056188.7885574475</v>
      </c>
      <c r="X12" s="12">
        <f t="shared" ca="1" si="0"/>
        <v>7796743.5309883142</v>
      </c>
      <c r="Y12" s="12">
        <f t="shared" ca="1" si="0"/>
        <v>9221715.3005097471</v>
      </c>
      <c r="Z12" s="12">
        <f t="shared" ca="1" si="0"/>
        <v>9651164.9142331518</v>
      </c>
      <c r="AA12" s="12">
        <f t="shared" ca="1" si="0"/>
        <v>9615102.0522853062</v>
      </c>
      <c r="AB12" s="12">
        <f t="shared" ca="1" si="0"/>
        <v>10515884.528607138</v>
      </c>
      <c r="AC12" s="12">
        <f t="shared" ca="1" si="0"/>
        <v>11237783.035499211</v>
      </c>
      <c r="AD12" s="12">
        <f t="shared" ca="1" si="0"/>
        <v>11646926.264375336</v>
      </c>
      <c r="AE12" s="12">
        <f t="shared" ca="1" si="0"/>
        <v>11716873.141247123</v>
      </c>
      <c r="AF12" s="12">
        <f t="shared" ca="1" si="0"/>
        <v>14410244.003949393</v>
      </c>
      <c r="AG12" s="12">
        <f t="shared" ca="1" si="0"/>
        <v>15117302.796632491</v>
      </c>
      <c r="AH12" s="12">
        <f t="shared" ca="1" si="0"/>
        <v>17321657.193556726</v>
      </c>
      <c r="AI12" s="12">
        <f t="shared" ca="1" si="0"/>
        <v>20215278.340817943</v>
      </c>
      <c r="AJ12" s="12">
        <f t="shared" ca="1" si="0"/>
        <v>20359586.114585087</v>
      </c>
      <c r="AK12" s="12">
        <f t="shared" ca="1" si="0"/>
        <v>19782015.926287588</v>
      </c>
      <c r="AL12" s="12">
        <f t="shared" ca="1" si="0"/>
        <v>20979546.135402143</v>
      </c>
      <c r="AM12" s="12">
        <f t="shared" ca="1" si="0"/>
        <v>21232863.012193829</v>
      </c>
      <c r="AN12" s="12">
        <f t="shared" ca="1" si="0"/>
        <v>22323683.371444806</v>
      </c>
      <c r="AO12" s="12">
        <f t="shared" ca="1" si="0"/>
        <v>23071734.831451703</v>
      </c>
      <c r="AP12" s="12">
        <f t="shared" ca="1" si="0"/>
        <v>24850787.303804018</v>
      </c>
      <c r="AQ12" s="12">
        <f t="shared" ca="1" si="0"/>
        <v>26101903.5930456</v>
      </c>
      <c r="AR12" s="12">
        <f t="shared" ca="1" si="0"/>
        <v>28922052.80179254</v>
      </c>
      <c r="AS12" s="12">
        <f t="shared" ca="1" si="0"/>
        <v>31114646.334921326</v>
      </c>
      <c r="AT12" s="12">
        <f t="shared" ca="1" si="0"/>
        <v>33972662.06704171</v>
      </c>
      <c r="AU12" s="12">
        <f t="shared" ca="1" si="0"/>
        <v>38384924.098732658</v>
      </c>
      <c r="AV12" s="12">
        <f t="shared" ca="1" si="0"/>
        <v>41556031.489608452</v>
      </c>
      <c r="AW12" s="12">
        <f t="shared" ca="1" si="0"/>
        <v>41948970.881801382</v>
      </c>
      <c r="AX12" s="12">
        <f t="shared" ca="1" si="0"/>
        <v>47337362.209408581</v>
      </c>
      <c r="AY12" s="12">
        <f t="shared" ca="1" si="0"/>
        <v>49883610.414920151</v>
      </c>
      <c r="AZ12" s="12">
        <f t="shared" ca="1" si="0"/>
        <v>54855945.066350162</v>
      </c>
      <c r="BA12" s="12">
        <f t="shared" ca="1" si="0"/>
        <v>60910456.133527353</v>
      </c>
      <c r="BB12" s="12">
        <f t="shared" ca="1" si="0"/>
        <v>64674053.402012274</v>
      </c>
      <c r="BC12" s="12">
        <f t="shared" ca="1" si="0"/>
        <v>70573372.453949481</v>
      </c>
      <c r="BD12" s="12">
        <f t="shared" ca="1" si="0"/>
        <v>77111839.072363675</v>
      </c>
      <c r="BE12" s="12">
        <f t="shared" ca="1" si="0"/>
        <v>82082472.514428034</v>
      </c>
      <c r="BF12" s="12">
        <f t="shared" ca="1" si="0"/>
        <v>89452083.171940684</v>
      </c>
      <c r="BG12" s="12">
        <f t="shared" ca="1" si="0"/>
        <v>97579174.834828153</v>
      </c>
      <c r="BH12" s="12">
        <f t="shared" ca="1" si="0"/>
        <v>103473842.19289011</v>
      </c>
      <c r="BI12" s="12">
        <f t="shared" ca="1" si="0"/>
        <v>104949416.06498106</v>
      </c>
      <c r="BJ12" s="12">
        <f t="shared" ca="1" si="0"/>
        <v>115484120.04469937</v>
      </c>
      <c r="BK12" s="12">
        <f t="shared" ca="1" si="0"/>
        <v>121137555.4666743</v>
      </c>
      <c r="BL12" s="12">
        <f t="shared" ca="1" si="0"/>
        <v>132424205.05544689</v>
      </c>
      <c r="BM12" s="12">
        <f t="shared" ca="1" si="0"/>
        <v>144305179.15141821</v>
      </c>
      <c r="BN12" s="12">
        <f t="shared" ca="1" si="0"/>
        <v>151710633.625965</v>
      </c>
      <c r="BO12" s="12">
        <f t="shared" ca="1" si="0"/>
        <v>165166956.05282331</v>
      </c>
      <c r="BP12" s="12">
        <f t="shared" ca="1" si="0"/>
        <v>178592170.902913</v>
      </c>
      <c r="BQ12" s="12">
        <f t="shared" ca="1" si="0"/>
        <v>188209688.31956792</v>
      </c>
    </row>
    <row r="14" spans="1:69">
      <c r="E14" s="17" t="str">
        <f xml:space="preserve"> Income!E$27</f>
        <v>Deferred Income</v>
      </c>
      <c r="F14" s="17">
        <f xml:space="preserve"> Income!F$27</f>
        <v>0</v>
      </c>
      <c r="G14" s="17" t="str">
        <f xml:space="preserve"> Income!G$27</f>
        <v>GBP</v>
      </c>
      <c r="H14" s="44">
        <f xml:space="preserve"> Income!H$27</f>
        <v>0</v>
      </c>
      <c r="I14" s="17">
        <f xml:space="preserve"> Income!I$27</f>
        <v>0</v>
      </c>
      <c r="J14" s="10">
        <f ca="1">Income!J$27</f>
        <v>-18000</v>
      </c>
      <c r="K14" s="10">
        <f ca="1">Income!K$27</f>
        <v>96000</v>
      </c>
      <c r="L14" s="10">
        <f ca="1">Income!L$27</f>
        <v>198000</v>
      </c>
      <c r="M14" s="10">
        <f ca="1">Income!M$27</f>
        <v>288000</v>
      </c>
      <c r="N14" s="10">
        <f ca="1">Income!N$27</f>
        <v>366000</v>
      </c>
      <c r="O14" s="10">
        <f ca="1">Income!O$27</f>
        <v>564000</v>
      </c>
      <c r="P14" s="10">
        <f ca="1">Income!P$27</f>
        <v>1002000</v>
      </c>
      <c r="Q14" s="10">
        <f ca="1">Income!Q$27</f>
        <v>1260000</v>
      </c>
      <c r="R14" s="10">
        <f ca="1">Income!R$27</f>
        <v>1482000</v>
      </c>
      <c r="S14" s="10">
        <f ca="1">Income!S$27</f>
        <v>1272000</v>
      </c>
      <c r="T14" s="10">
        <f ca="1">Income!T$27</f>
        <v>2382000</v>
      </c>
      <c r="U14" s="10">
        <f ca="1">Income!U$27</f>
        <v>2052000</v>
      </c>
      <c r="V14" s="10">
        <f ca="1">Income!V$27</f>
        <v>3042000</v>
      </c>
      <c r="W14" s="10">
        <f ca="1">Income!W$27</f>
        <v>3699245.6422771346</v>
      </c>
      <c r="X14" s="10">
        <f ca="1">Income!X$27</f>
        <v>3662432.2143384423</v>
      </c>
      <c r="Y14" s="10">
        <f ca="1">Income!Y$27</f>
        <v>4405379.504401559</v>
      </c>
      <c r="Z14" s="10">
        <f ca="1">Income!Z$27</f>
        <v>4024164.2788781589</v>
      </c>
      <c r="AA14" s="10">
        <f ca="1">Income!AA$27</f>
        <v>3622164.2788781589</v>
      </c>
      <c r="AB14" s="10">
        <f ca="1">Income!AB$27</f>
        <v>3508164.2788781589</v>
      </c>
      <c r="AC14" s="10">
        <f ca="1">Income!AC$27</f>
        <v>3250164.2788781589</v>
      </c>
      <c r="AD14" s="10">
        <f ca="1">Income!AD$27</f>
        <v>2992164.2788781589</v>
      </c>
      <c r="AE14" s="10">
        <f ca="1">Income!AE$27</f>
        <v>2302164.2788781589</v>
      </c>
      <c r="AF14" s="10">
        <f ca="1">Income!AF$27</f>
        <v>3712164.2788781589</v>
      </c>
      <c r="AG14" s="10">
        <f ca="1">Income!AG$27</f>
        <v>3622164.2788781589</v>
      </c>
      <c r="AH14" s="10">
        <f ca="1">Income!AH$27</f>
        <v>4924164.2788781589</v>
      </c>
      <c r="AI14" s="10">
        <f ca="1">Income!AI$27</f>
        <v>6448977.7068168512</v>
      </c>
      <c r="AJ14" s="10">
        <f ca="1">Income!AJ$27</f>
        <v>7204164.2788781589</v>
      </c>
      <c r="AK14" s="10">
        <f ca="1">Income!AK$27</f>
        <v>8077379.504401559</v>
      </c>
      <c r="AL14" s="10">
        <f ca="1">Income!AL$27</f>
        <v>8476164.2788781598</v>
      </c>
      <c r="AM14" s="10">
        <f ca="1">Income!AM$27</f>
        <v>8626164.2788781598</v>
      </c>
      <c r="AN14" s="10">
        <f ca="1">Income!AN$27</f>
        <v>8692164.2788781598</v>
      </c>
      <c r="AO14" s="10">
        <f ca="1">Income!AO$27</f>
        <v>8698164.2788781598</v>
      </c>
      <c r="AP14" s="10">
        <f ca="1">Income!AP$27</f>
        <v>9304164.2788781598</v>
      </c>
      <c r="AQ14" s="10">
        <f ca="1">Income!AQ$27</f>
        <v>9130164.2788781598</v>
      </c>
      <c r="AR14" s="10">
        <f ca="1">Income!AR$27</f>
        <v>10276164.27887816</v>
      </c>
      <c r="AS14" s="10">
        <f ca="1">Income!AS$27</f>
        <v>11302164.27887816</v>
      </c>
      <c r="AT14" s="10">
        <f ca="1">Income!AT$27</f>
        <v>12211732.064539718</v>
      </c>
      <c r="AU14" s="10">
        <f ca="1">Income!AU$27</f>
        <v>14388647.573099837</v>
      </c>
      <c r="AV14" s="10">
        <f ca="1">Income!AV$27</f>
        <v>16396915.508560121</v>
      </c>
      <c r="AW14" s="10">
        <f ca="1">Income!AW$27</f>
        <v>17520778.707014099</v>
      </c>
      <c r="AX14" s="10">
        <f ca="1">Income!AX$27</f>
        <v>19864732.296718277</v>
      </c>
      <c r="AY14" s="10">
        <f ca="1">Income!AY$27</f>
        <v>21333538.70016484</v>
      </c>
      <c r="AZ14" s="10">
        <f ca="1">Income!AZ$27</f>
        <v>23312243.528224003</v>
      </c>
      <c r="BA14" s="10">
        <f ca="1">Income!BA$27</f>
        <v>25746192.419401258</v>
      </c>
      <c r="BB14" s="10">
        <f ca="1">Income!BB$27</f>
        <v>27981048.880408961</v>
      </c>
      <c r="BC14" s="10">
        <f ca="1">Income!BC$27</f>
        <v>29962813.187593501</v>
      </c>
      <c r="BD14" s="10">
        <f ca="1">Income!BD$27</f>
        <v>32417842.412299849</v>
      </c>
      <c r="BE14" s="10">
        <f ca="1">Income!BE$27</f>
        <v>35292871.637006193</v>
      </c>
      <c r="BF14" s="10">
        <f ca="1">Income!BF$27</f>
        <v>37885836.433035657</v>
      </c>
      <c r="BG14" s="10">
        <f ca="1">Income!BG$27</f>
        <v>40924296.674862243</v>
      </c>
      <c r="BH14" s="10">
        <f ca="1">Income!BH$27</f>
        <v>44356261.770489156</v>
      </c>
      <c r="BI14" s="10">
        <f ca="1">Income!BI$27</f>
        <v>47470217.392103456</v>
      </c>
      <c r="BJ14" s="10">
        <f ca="1">Income!BJ$27</f>
        <v>51676753.796218157</v>
      </c>
      <c r="BK14" s="10">
        <f ca="1">Income!BK$27</f>
        <v>54825395.827817626</v>
      </c>
      <c r="BL14" s="10">
        <f ca="1">Income!BL$27</f>
        <v>59026234.708642304</v>
      </c>
      <c r="BM14" s="10">
        <f ca="1">Income!BM$27</f>
        <v>63591561.71570316</v>
      </c>
      <c r="BN14" s="10">
        <f ca="1">Income!BN$27</f>
        <v>67752703.86242491</v>
      </c>
      <c r="BO14" s="10">
        <f ca="1">Income!BO$27</f>
        <v>72901661.701500341</v>
      </c>
      <c r="BP14" s="10">
        <f ca="1">Income!BP$27</f>
        <v>77611149.375619382</v>
      </c>
      <c r="BQ14" s="10">
        <f ca="1">Income!BQ$27</f>
        <v>83274637.049738422</v>
      </c>
    </row>
    <row r="15" spans="1:6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'Working Capital'!J$36</f>
        <v>0</v>
      </c>
      <c r="K15" s="10">
        <f ca="1">'Working Capital'!K$36</f>
        <v>0</v>
      </c>
      <c r="L15" s="10">
        <f ca="1">'Working Capital'!L$36</f>
        <v>315000</v>
      </c>
      <c r="M15" s="10">
        <f ca="1">'Working Capital'!M$36</f>
        <v>630000</v>
      </c>
      <c r="N15" s="10">
        <f ca="1">'Working Capital'!N$36</f>
        <v>945000</v>
      </c>
      <c r="O15" s="10">
        <f ca="1">'Working Capital'!O$36</f>
        <v>945000</v>
      </c>
      <c r="P15" s="10">
        <f ca="1">'Working Capital'!P$36</f>
        <v>1259999.9999999998</v>
      </c>
      <c r="Q15" s="10">
        <f ca="1">'Working Capital'!Q$36</f>
        <v>1259999.9999999995</v>
      </c>
      <c r="R15" s="10">
        <f ca="1">'Working Capital'!R$36</f>
        <v>1280999.9999999993</v>
      </c>
      <c r="S15" s="10">
        <f ca="1">'Working Capital'!S$36</f>
        <v>986999.9999999993</v>
      </c>
      <c r="T15" s="10">
        <f ca="1">'Working Capital'!T$36</f>
        <v>692999.9999999993</v>
      </c>
      <c r="U15" s="10">
        <f ca="1">'Working Capital'!U$36</f>
        <v>692999.9999999993</v>
      </c>
      <c r="V15" s="10">
        <f ca="1">'Working Capital'!V$36</f>
        <v>398999.99999999942</v>
      </c>
      <c r="W15" s="10">
        <f ca="1">'Working Capital'!W$36</f>
        <v>398999.99999999942</v>
      </c>
      <c r="X15" s="10">
        <f ca="1">'Working Capital'!X$36</f>
        <v>104999.99999999948</v>
      </c>
      <c r="Y15" s="10">
        <f ca="1">'Working Capital'!Y$36</f>
        <v>262499.99999999948</v>
      </c>
      <c r="Z15" s="10">
        <f ca="1">'Working Capital'!Z$36</f>
        <v>419999.99999999942</v>
      </c>
      <c r="AA15" s="10">
        <f ca="1">'Working Capital'!AA$36</f>
        <v>577499.9999999993</v>
      </c>
      <c r="AB15" s="10">
        <f ca="1">'Working Capital'!AB$36</f>
        <v>892499.9999999993</v>
      </c>
      <c r="AC15" s="10">
        <f ca="1">'Working Capital'!AC$36</f>
        <v>1207499.9999999991</v>
      </c>
      <c r="AD15" s="10">
        <f ca="1">'Working Capital'!AD$36</f>
        <v>1364999.9999999993</v>
      </c>
      <c r="AE15" s="10">
        <f ca="1">'Working Capital'!AE$36</f>
        <v>1532999.9999999995</v>
      </c>
      <c r="AF15" s="10">
        <f ca="1">'Working Capital'!AF$36</f>
        <v>1700999.9999999995</v>
      </c>
      <c r="AG15" s="10">
        <f ca="1">'Working Capital'!AG$36</f>
        <v>1868999.9999999995</v>
      </c>
      <c r="AH15" s="10">
        <f ca="1">'Working Capital'!AH$36</f>
        <v>1889999.9999999995</v>
      </c>
      <c r="AI15" s="10">
        <f ca="1">'Working Capital'!AI$36</f>
        <v>2068500</v>
      </c>
      <c r="AJ15" s="10">
        <f ca="1">'Working Capital'!AJ$36</f>
        <v>2236500</v>
      </c>
      <c r="AK15" s="10">
        <f ca="1">'Working Capital'!AK$36</f>
        <v>2415000.0000000005</v>
      </c>
      <c r="AL15" s="10">
        <f ca="1">'Working Capital'!AL$36</f>
        <v>2593500.0000000005</v>
      </c>
      <c r="AM15" s="10">
        <f ca="1">'Working Capital'!AM$36</f>
        <v>2772000.0000000005</v>
      </c>
      <c r="AN15" s="10">
        <f ca="1">'Working Capital'!AN$36</f>
        <v>3108000.0000000005</v>
      </c>
      <c r="AO15" s="10">
        <f ca="1">'Working Capital'!AO$36</f>
        <v>3297000.0000000005</v>
      </c>
      <c r="AP15" s="10">
        <f ca="1">'Working Capital'!AP$36</f>
        <v>3633000.0000000005</v>
      </c>
      <c r="AQ15" s="10">
        <f ca="1">'Working Capital'!AQ$36</f>
        <v>3979500.0000000005</v>
      </c>
      <c r="AR15" s="10">
        <f ca="1">'Working Capital'!AR$36</f>
        <v>4168499.9999999995</v>
      </c>
      <c r="AS15" s="10">
        <f ca="1">'Working Capital'!AS$36</f>
        <v>4515000</v>
      </c>
      <c r="AT15" s="10">
        <f ca="1">'Working Capital'!AT$36</f>
        <v>4872000</v>
      </c>
      <c r="AU15" s="10">
        <f ca="1">'Working Capital'!AU$36</f>
        <v>5071500</v>
      </c>
      <c r="AV15" s="10">
        <f ca="1">'Working Capital'!AV$36</f>
        <v>5428499.9999999991</v>
      </c>
      <c r="AW15" s="10">
        <f ca="1">'Working Capital'!AW$36</f>
        <v>5638499.9999999981</v>
      </c>
      <c r="AX15" s="10">
        <f ca="1">'Working Capital'!AX$36</f>
        <v>6152999.9999999972</v>
      </c>
      <c r="AY15" s="10">
        <f ca="1">'Working Capital'!AY$36</f>
        <v>6520499.9999999972</v>
      </c>
      <c r="AZ15" s="10">
        <f ca="1">'Working Capital'!AZ$36</f>
        <v>6740999.9999999981</v>
      </c>
      <c r="BA15" s="10">
        <f ca="1">'Working Capital'!BA$36</f>
        <v>7265999.9999999981</v>
      </c>
      <c r="BB15" s="10">
        <f ca="1">'Working Capital'!BB$36</f>
        <v>7643999.9999999991</v>
      </c>
      <c r="BC15" s="10">
        <f ca="1">'Working Capital'!BC$36</f>
        <v>8179500.0000000019</v>
      </c>
      <c r="BD15" s="10">
        <f ca="1">'Working Capital'!BD$36</f>
        <v>8568000.0000000037</v>
      </c>
      <c r="BE15" s="10">
        <f ca="1">'Working Capital'!BE$36</f>
        <v>9114000.0000000037</v>
      </c>
      <c r="BF15" s="10">
        <f ca="1">'Working Capital'!BF$36</f>
        <v>9660000.0000000037</v>
      </c>
      <c r="BG15" s="10">
        <f ca="1">'Working Capital'!BG$36</f>
        <v>10216500.000000004</v>
      </c>
      <c r="BH15" s="10">
        <f ca="1">'Working Capital'!BH$36</f>
        <v>10930500.000000002</v>
      </c>
      <c r="BI15" s="10">
        <f ca="1">'Working Capital'!BI$36</f>
        <v>11497500.000000002</v>
      </c>
      <c r="BJ15" s="10">
        <f ca="1">'Working Capital'!BJ$36</f>
        <v>12222000</v>
      </c>
      <c r="BK15" s="10">
        <f ca="1">'Working Capital'!BK$36</f>
        <v>12957000</v>
      </c>
      <c r="BL15" s="10">
        <f ca="1">'Working Capital'!BL$36</f>
        <v>13849500.000000002</v>
      </c>
      <c r="BM15" s="10">
        <f ca="1">'Working Capital'!BM$36</f>
        <v>14595000</v>
      </c>
      <c r="BN15" s="10">
        <f ca="1">'Working Capital'!BN$36</f>
        <v>15508500</v>
      </c>
      <c r="BO15" s="10">
        <f ca="1">'Working Capital'!BO$36</f>
        <v>16422000</v>
      </c>
      <c r="BP15" s="10">
        <f ca="1">'Working Capital'!BP$36</f>
        <v>17503500</v>
      </c>
      <c r="BQ15" s="10">
        <f ca="1">'Working Capital'!BQ$36</f>
        <v>18438000.000000004</v>
      </c>
    </row>
    <row r="16" spans="1:6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'Supply Chain finance'!J$15</f>
        <v>0</v>
      </c>
      <c r="K16" s="10">
        <f ca="1">'Supply Chain finance'!K$15</f>
        <v>0</v>
      </c>
      <c r="L16" s="10">
        <f ca="1">'Supply Chain finance'!L$15</f>
        <v>280000</v>
      </c>
      <c r="M16" s="10">
        <f ca="1">'Supply Chain finance'!M$15</f>
        <v>560000</v>
      </c>
      <c r="N16" s="10">
        <f ca="1">'Supply Chain finance'!N$15</f>
        <v>840000</v>
      </c>
      <c r="O16" s="10">
        <f ca="1">'Supply Chain finance'!O$15</f>
        <v>840000</v>
      </c>
      <c r="P16" s="10">
        <f ca="1">'Supply Chain finance'!P$15</f>
        <v>1120000</v>
      </c>
      <c r="Q16" s="10">
        <f ca="1">'Supply Chain finance'!Q$15</f>
        <v>1120000</v>
      </c>
      <c r="R16" s="10">
        <f ca="1">'Supply Chain finance'!R$15</f>
        <v>1120000</v>
      </c>
      <c r="S16" s="10">
        <f ca="1">'Supply Chain finance'!S$15</f>
        <v>840000</v>
      </c>
      <c r="T16" s="10">
        <f ca="1">'Supply Chain finance'!T$15</f>
        <v>560000</v>
      </c>
      <c r="U16" s="10">
        <f ca="1">'Supply Chain finance'!U$15</f>
        <v>560000</v>
      </c>
      <c r="V16" s="10">
        <f ca="1">'Supply Chain finance'!V$15</f>
        <v>280000</v>
      </c>
      <c r="W16" s="10">
        <f ca="1">'Supply Chain finance'!W$15</f>
        <v>280000</v>
      </c>
      <c r="X16" s="10">
        <f ca="1">'Supply Chain finance'!X$15</f>
        <v>0</v>
      </c>
      <c r="Y16" s="10">
        <f ca="1">'Supply Chain finance'!Y$15</f>
        <v>140000</v>
      </c>
      <c r="Z16" s="10">
        <f ca="1">'Supply Chain finance'!Z$15</f>
        <v>280000</v>
      </c>
      <c r="AA16" s="10">
        <f ca="1">'Supply Chain finance'!AA$15</f>
        <v>420000</v>
      </c>
      <c r="AB16" s="10">
        <f ca="1">'Supply Chain finance'!AB$15</f>
        <v>700000</v>
      </c>
      <c r="AC16" s="10">
        <f ca="1">'Supply Chain finance'!AC$15</f>
        <v>980000</v>
      </c>
      <c r="AD16" s="10">
        <f ca="1">'Supply Chain finance'!AD$15</f>
        <v>1120000</v>
      </c>
      <c r="AE16" s="10">
        <f ca="1">'Supply Chain finance'!AE$15</f>
        <v>1260000</v>
      </c>
      <c r="AF16" s="10">
        <f ca="1">'Supply Chain finance'!AF$15</f>
        <v>1400000</v>
      </c>
      <c r="AG16" s="10">
        <f ca="1">'Supply Chain finance'!AG$15</f>
        <v>1540000</v>
      </c>
      <c r="AH16" s="10">
        <f ca="1">'Supply Chain finance'!AH$15</f>
        <v>1540000</v>
      </c>
      <c r="AI16" s="10">
        <f ca="1">'Supply Chain finance'!AI$15</f>
        <v>1680000</v>
      </c>
      <c r="AJ16" s="10">
        <f ca="1">'Supply Chain finance'!AJ$15</f>
        <v>1540000</v>
      </c>
      <c r="AK16" s="10">
        <f ca="1">'Supply Chain finance'!AK$15</f>
        <v>1260000</v>
      </c>
      <c r="AL16" s="10">
        <f ca="1">'Supply Chain finance'!AL$15</f>
        <v>980000</v>
      </c>
      <c r="AM16" s="10">
        <f ca="1">'Supply Chain finance'!AM$15</f>
        <v>700000</v>
      </c>
      <c r="AN16" s="10">
        <f ca="1">'Supply Chain finance'!AN$15</f>
        <v>420000</v>
      </c>
      <c r="AO16" s="10">
        <f ca="1">'Supply Chain finance'!AO$15</f>
        <v>0</v>
      </c>
      <c r="AP16" s="10">
        <f ca="1">'Supply Chain finance'!AP$15</f>
        <v>0</v>
      </c>
      <c r="AQ16" s="10">
        <f ca="1">'Supply Chain finance'!AQ$15</f>
        <v>0</v>
      </c>
      <c r="AR16" s="10">
        <f ca="1">'Supply Chain finance'!AR$15</f>
        <v>0</v>
      </c>
      <c r="AS16" s="10">
        <f ca="1">'Supply Chain finance'!AS$15</f>
        <v>0</v>
      </c>
      <c r="AT16" s="10">
        <f ca="1">'Supply Chain finance'!AT$15</f>
        <v>0</v>
      </c>
      <c r="AU16" s="10">
        <f ca="1">'Supply Chain finance'!AU$15</f>
        <v>0</v>
      </c>
      <c r="AV16" s="10">
        <f ca="1">'Supply Chain finance'!AV$15</f>
        <v>0</v>
      </c>
      <c r="AW16" s="10">
        <f ca="1">'Supply Chain finance'!AW$15</f>
        <v>0</v>
      </c>
      <c r="AX16" s="10">
        <f ca="1">'Supply Chain finance'!AX$15</f>
        <v>0</v>
      </c>
      <c r="AY16" s="10">
        <f ca="1">'Supply Chain finance'!AY$15</f>
        <v>0</v>
      </c>
      <c r="AZ16" s="10">
        <f ca="1">'Supply Chain finance'!AZ$15</f>
        <v>0</v>
      </c>
      <c r="BA16" s="10">
        <f ca="1">'Supply Chain finance'!BA$15</f>
        <v>0</v>
      </c>
      <c r="BB16" s="10">
        <f ca="1">'Supply Chain finance'!BB$15</f>
        <v>0</v>
      </c>
      <c r="BC16" s="10">
        <f ca="1">'Supply Chain finance'!BC$15</f>
        <v>0</v>
      </c>
      <c r="BD16" s="10">
        <f ca="1">'Supply Chain finance'!BD$15</f>
        <v>0</v>
      </c>
      <c r="BE16" s="10">
        <f ca="1">'Supply Chain finance'!BE$15</f>
        <v>0</v>
      </c>
      <c r="BF16" s="10">
        <f ca="1">'Supply Chain finance'!BF$15</f>
        <v>0</v>
      </c>
      <c r="BG16" s="10">
        <f ca="1">'Supply Chain finance'!BG$15</f>
        <v>0</v>
      </c>
      <c r="BH16" s="10">
        <f ca="1">'Supply Chain finance'!BH$15</f>
        <v>0</v>
      </c>
      <c r="BI16" s="10">
        <f ca="1">'Supply Chain finance'!BI$15</f>
        <v>0</v>
      </c>
      <c r="BJ16" s="10">
        <f ca="1">'Supply Chain finance'!BJ$15</f>
        <v>0</v>
      </c>
      <c r="BK16" s="10">
        <f ca="1">'Supply Chain finance'!BK$15</f>
        <v>0</v>
      </c>
      <c r="BL16" s="10">
        <f ca="1">'Supply Chain finance'!BL$15</f>
        <v>0</v>
      </c>
      <c r="BM16" s="10">
        <f ca="1">'Supply Chain finance'!BM$15</f>
        <v>0</v>
      </c>
      <c r="BN16" s="10">
        <f ca="1">'Supply Chain finance'!BN$15</f>
        <v>0</v>
      </c>
      <c r="BO16" s="10">
        <f ca="1">'Supply Chain finance'!BO$15</f>
        <v>0</v>
      </c>
      <c r="BP16" s="10">
        <f ca="1">'Supply Chain finance'!BP$15</f>
        <v>0</v>
      </c>
      <c r="BQ16" s="10">
        <f ca="1">'Supply Chain finance'!BQ$15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'Invoice finance'!J$15</f>
        <v>0</v>
      </c>
      <c r="K17" s="10">
        <f ca="1">'Invoice finance'!K$15</f>
        <v>27000</v>
      </c>
      <c r="L17" s="10">
        <f ca="1">'Invoice finance'!L$15</f>
        <v>64800</v>
      </c>
      <c r="M17" s="10">
        <f ca="1">'Invoice finance'!M$15</f>
        <v>86400</v>
      </c>
      <c r="N17" s="10">
        <f ca="1">'Invoice finance'!N$15</f>
        <v>108000</v>
      </c>
      <c r="O17" s="10">
        <f ca="1">'Invoice finance'!O$15</f>
        <v>140400</v>
      </c>
      <c r="P17" s="10">
        <f ca="1">'Invoice finance'!P$15</f>
        <v>205200</v>
      </c>
      <c r="Q17" s="10">
        <f ca="1">'Invoice finance'!Q$15</f>
        <v>280800</v>
      </c>
      <c r="R17" s="10">
        <f ca="1">'Invoice finance'!R$15</f>
        <v>345600</v>
      </c>
      <c r="S17" s="10">
        <f ca="1">'Invoice finance'!S$15</f>
        <v>378000</v>
      </c>
      <c r="T17" s="10">
        <f ca="1">'Invoice finance'!T$15</f>
        <v>486000</v>
      </c>
      <c r="U17" s="10">
        <f ca="1">'Invoice finance'!U$15</f>
        <v>594000</v>
      </c>
      <c r="V17" s="10">
        <f ca="1">'Invoice finance'!V$15</f>
        <v>702000</v>
      </c>
      <c r="W17" s="10">
        <f ca="1">'Invoice finance'!W$15</f>
        <v>888811.00709540187</v>
      </c>
      <c r="X17" s="10">
        <f ca="1">'Invoice finance'!X$15</f>
        <v>996811.00709540187</v>
      </c>
      <c r="Y17" s="10">
        <f ca="1">'Invoice finance'!Y$15</f>
        <v>1121641.1419142552</v>
      </c>
      <c r="Z17" s="10">
        <f ca="1">'Invoice finance'!Z$15</f>
        <v>1229641.1419142552</v>
      </c>
      <c r="AA17" s="10">
        <f ca="1">'Invoice finance'!AA$15</f>
        <v>1242000</v>
      </c>
      <c r="AB17" s="10">
        <f ca="1">'Invoice finance'!AB$15</f>
        <v>1242000</v>
      </c>
      <c r="AC17" s="10">
        <f ca="1">'Invoice finance'!AC$15</f>
        <v>1242000</v>
      </c>
      <c r="AD17" s="10">
        <f ca="1">'Invoice finance'!AD$15</f>
        <v>1242000</v>
      </c>
      <c r="AE17" s="10">
        <f ca="1">'Invoice finance'!AE$15</f>
        <v>1242000</v>
      </c>
      <c r="AF17" s="10">
        <f ca="1">'Invoice finance'!AF$15</f>
        <v>1296000</v>
      </c>
      <c r="AG17" s="10">
        <f ca="1">'Invoice finance'!AG$15</f>
        <v>1404000</v>
      </c>
      <c r="AH17" s="10">
        <f ca="1">'Invoice finance'!AH$15</f>
        <v>1501200</v>
      </c>
      <c r="AI17" s="10">
        <f ca="1">'Invoice finance'!AI$15</f>
        <v>1641600</v>
      </c>
      <c r="AJ17" s="10">
        <f ca="1">'Invoice finance'!AJ$15</f>
        <v>869400</v>
      </c>
      <c r="AK17" s="10">
        <f ca="1">'Invoice finance'!AK$15</f>
        <v>0</v>
      </c>
      <c r="AL17" s="10">
        <f ca="1">'Invoice finance'!AL$15</f>
        <v>0</v>
      </c>
      <c r="AM17" s="10">
        <f ca="1">'Invoice finance'!AM$15</f>
        <v>0</v>
      </c>
      <c r="AN17" s="10">
        <f ca="1">'Invoice finance'!AN$15</f>
        <v>0</v>
      </c>
      <c r="AO17" s="10">
        <f ca="1">'Invoice finance'!AO$15</f>
        <v>0</v>
      </c>
      <c r="AP17" s="10">
        <f ca="1">'Invoice finance'!AP$15</f>
        <v>0</v>
      </c>
      <c r="AQ17" s="10">
        <f ca="1">'Invoice finance'!AQ$15</f>
        <v>0</v>
      </c>
      <c r="AR17" s="10">
        <f ca="1">'Invoice finance'!AR$15</f>
        <v>0</v>
      </c>
      <c r="AS17" s="10">
        <f ca="1">'Invoice finance'!AS$15</f>
        <v>0</v>
      </c>
      <c r="AT17" s="10">
        <f ca="1">'Invoice finance'!AT$15</f>
        <v>0</v>
      </c>
      <c r="AU17" s="10">
        <f ca="1">'Invoice finance'!AU$15</f>
        <v>0</v>
      </c>
      <c r="AV17" s="10">
        <f ca="1">'Invoice finance'!AV$15</f>
        <v>0</v>
      </c>
      <c r="AW17" s="10">
        <f ca="1">'Invoice finance'!AW$15</f>
        <v>0</v>
      </c>
      <c r="AX17" s="10">
        <f ca="1">'Invoice finance'!AX$15</f>
        <v>0</v>
      </c>
      <c r="AY17" s="10">
        <f ca="1">'Invoice finance'!AY$15</f>
        <v>0</v>
      </c>
      <c r="AZ17" s="10">
        <f ca="1">'Invoice finance'!AZ$15</f>
        <v>0</v>
      </c>
      <c r="BA17" s="10">
        <f ca="1">'Invoice finance'!BA$15</f>
        <v>0</v>
      </c>
      <c r="BB17" s="10">
        <f ca="1">'Invoice finance'!BB$15</f>
        <v>0</v>
      </c>
      <c r="BC17" s="10">
        <f ca="1">'Invoice finance'!BC$15</f>
        <v>0</v>
      </c>
      <c r="BD17" s="10">
        <f ca="1">'Invoice finance'!BD$15</f>
        <v>0</v>
      </c>
      <c r="BE17" s="10">
        <f ca="1">'Invoice finance'!BE$15</f>
        <v>0</v>
      </c>
      <c r="BF17" s="10">
        <f ca="1">'Invoice finance'!BF$15</f>
        <v>0</v>
      </c>
      <c r="BG17" s="10">
        <f ca="1">'Invoice finance'!BG$15</f>
        <v>0</v>
      </c>
      <c r="BH17" s="10">
        <f ca="1">'Invoice finance'!BH$15</f>
        <v>0</v>
      </c>
      <c r="BI17" s="10">
        <f ca="1">'Invoice finance'!BI$15</f>
        <v>0</v>
      </c>
      <c r="BJ17" s="10">
        <f ca="1">'Invoice finance'!BJ$15</f>
        <v>0</v>
      </c>
      <c r="BK17" s="10">
        <f ca="1">'Invoice finance'!BK$15</f>
        <v>0</v>
      </c>
      <c r="BL17" s="10">
        <f ca="1">'Invoice finance'!BL$15</f>
        <v>0</v>
      </c>
      <c r="BM17" s="10">
        <f ca="1">'Invoice finance'!BM$15</f>
        <v>0</v>
      </c>
      <c r="BN17" s="10">
        <f ca="1">'Invoice finance'!BN$15</f>
        <v>0</v>
      </c>
      <c r="BO17" s="10">
        <f ca="1">'Invoice finance'!BO$15</f>
        <v>0</v>
      </c>
      <c r="BP17" s="10">
        <f ca="1">'Invoice finance'!BP$15</f>
        <v>0</v>
      </c>
      <c r="BQ17" s="10">
        <f ca="1">'Invoice finance'!BQ$15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'Asset Finance'!J$15</f>
        <v>0</v>
      </c>
      <c r="K18" s="10">
        <f ca="1">'Asset Finance'!K$15</f>
        <v>175000</v>
      </c>
      <c r="L18" s="10">
        <f ca="1">'Asset Finance'!L$15</f>
        <v>167708.33333333334</v>
      </c>
      <c r="M18" s="10">
        <f ca="1">'Asset Finance'!M$15</f>
        <v>160720.48611111112</v>
      </c>
      <c r="N18" s="10">
        <f ca="1">'Asset Finance'!N$15</f>
        <v>154023.79918981483</v>
      </c>
      <c r="O18" s="10">
        <f ca="1">'Asset Finance'!O$15</f>
        <v>497606.14089023921</v>
      </c>
      <c r="P18" s="10">
        <f ca="1">'Asset Finance'!P$15</f>
        <v>476872.55168647924</v>
      </c>
      <c r="Q18" s="10">
        <f ca="1">'Asset Finance'!Q$15</f>
        <v>457002.86203287594</v>
      </c>
      <c r="R18" s="10">
        <f ca="1">'Asset Finance'!R$15</f>
        <v>437961.07611483947</v>
      </c>
      <c r="S18" s="10">
        <f ca="1">'Asset Finance'!S$15</f>
        <v>769712.69794338779</v>
      </c>
      <c r="T18" s="10">
        <f ca="1">'Asset Finance'!T$15</f>
        <v>737641.33552908001</v>
      </c>
      <c r="U18" s="10">
        <f ca="1">'Asset Finance'!U$15</f>
        <v>1056906.2798820352</v>
      </c>
      <c r="V18" s="10">
        <f ca="1">'Asset Finance'!V$15</f>
        <v>1362868.5182202838</v>
      </c>
      <c r="W18" s="10">
        <f ca="1">'Asset Finance'!W$15</f>
        <v>1306082.3299611052</v>
      </c>
      <c r="X18" s="10">
        <f ca="1">'Asset Finance'!X$15</f>
        <v>1601662.2328793926</v>
      </c>
      <c r="Y18" s="10">
        <f ca="1">'Asset Finance'!Y$15</f>
        <v>1534926.3065094179</v>
      </c>
      <c r="Z18" s="10">
        <f ca="1">'Asset Finance'!Z$15</f>
        <v>1470971.0437381922</v>
      </c>
      <c r="AA18" s="10">
        <f ca="1">'Asset Finance'!AA$15</f>
        <v>1409680.5835824341</v>
      </c>
      <c r="AB18" s="10">
        <f ca="1">'Asset Finance'!AB$15</f>
        <v>1350943.8925998327</v>
      </c>
      <c r="AC18" s="10">
        <f ca="1">'Asset Finance'!AC$15</f>
        <v>1294654.5637415063</v>
      </c>
      <c r="AD18" s="10">
        <f ca="1">'Asset Finance'!AD$15</f>
        <v>1240710.6235856102</v>
      </c>
      <c r="AE18" s="10">
        <f ca="1">'Asset Finance'!AE$15</f>
        <v>1364014.3476028764</v>
      </c>
      <c r="AF18" s="10">
        <f ca="1">'Asset Finance'!AF$15</f>
        <v>1482180.4164527566</v>
      </c>
      <c r="AG18" s="10">
        <f ca="1">'Asset Finance'!AG$15</f>
        <v>1595422.8991005584</v>
      </c>
      <c r="AH18" s="10">
        <f ca="1">'Asset Finance'!AH$15</f>
        <v>1528946.9449713684</v>
      </c>
      <c r="AI18" s="10">
        <f ca="1">'Asset Finance'!AI$15</f>
        <v>1465240.822264228</v>
      </c>
      <c r="AJ18" s="10">
        <f ca="1">'Asset Finance'!AJ$15</f>
        <v>1404189.1213365518</v>
      </c>
      <c r="AK18" s="10">
        <f ca="1">'Asset Finance'!AK$15</f>
        <v>1345681.2412808621</v>
      </c>
      <c r="AL18" s="10">
        <f ca="1">'Asset Finance'!AL$15</f>
        <v>1289611.1895608262</v>
      </c>
      <c r="AM18" s="10">
        <f ca="1">'Asset Finance'!AM$15</f>
        <v>1235877.3899957917</v>
      </c>
      <c r="AN18" s="10">
        <f ca="1">'Asset Finance'!AN$15</f>
        <v>1184382.4987459672</v>
      </c>
      <c r="AO18" s="10">
        <f ca="1">'Asset Finance'!AO$15</f>
        <v>1135033.2279648853</v>
      </c>
      <c r="AP18" s="10">
        <f ca="1">'Asset Finance'!AP$15</f>
        <v>1087740.1767996817</v>
      </c>
      <c r="AQ18" s="10">
        <f ca="1">'Asset Finance'!AQ$15</f>
        <v>1042417.6694330283</v>
      </c>
      <c r="AR18" s="10">
        <f ca="1">'Asset Finance'!AR$15</f>
        <v>998983.5998733188</v>
      </c>
      <c r="AS18" s="10">
        <f ca="1">'Asset Finance'!AS$15</f>
        <v>957359.28321193054</v>
      </c>
      <c r="AT18" s="10">
        <f ca="1">'Asset Finance'!AT$15</f>
        <v>917469.31307810009</v>
      </c>
      <c r="AU18" s="10">
        <f ca="1">'Asset Finance'!AU$15</f>
        <v>879241.42503317923</v>
      </c>
      <c r="AV18" s="10">
        <f ca="1">'Asset Finance'!AV$15</f>
        <v>842606.36565679673</v>
      </c>
      <c r="AW18" s="10">
        <f ca="1">'Asset Finance'!AW$15</f>
        <v>807497.76708776352</v>
      </c>
      <c r="AX18" s="10">
        <f ca="1">'Asset Finance'!AX$15</f>
        <v>773852.0267924401</v>
      </c>
      <c r="AY18" s="10">
        <f ca="1">'Asset Finance'!AY$15</f>
        <v>741608.19234275515</v>
      </c>
      <c r="AZ18" s="10">
        <f ca="1">'Asset Finance'!AZ$15</f>
        <v>710707.85099514038</v>
      </c>
      <c r="BA18" s="10">
        <f ca="1">'Asset Finance'!BA$15</f>
        <v>681095.02387034288</v>
      </c>
      <c r="BB18" s="10">
        <f ca="1">'Asset Finance'!BB$15</f>
        <v>652716.06454241194</v>
      </c>
      <c r="BC18" s="10">
        <f ca="1">'Asset Finance'!BC$15</f>
        <v>625519.56185314478</v>
      </c>
      <c r="BD18" s="10">
        <f ca="1">'Asset Finance'!BD$15</f>
        <v>599456.2467759304</v>
      </c>
      <c r="BE18" s="10">
        <f ca="1">'Asset Finance'!BE$15</f>
        <v>574478.90316026658</v>
      </c>
      <c r="BF18" s="10">
        <f ca="1">'Asset Finance'!BF$15</f>
        <v>550542.28219525551</v>
      </c>
      <c r="BG18" s="10">
        <f ca="1">'Asset Finance'!BG$15</f>
        <v>527603.02043711988</v>
      </c>
      <c r="BH18" s="10">
        <f ca="1">'Asset Finance'!BH$15</f>
        <v>505619.56125223986</v>
      </c>
      <c r="BI18" s="10">
        <f ca="1">'Asset Finance'!BI$15</f>
        <v>484552.07953339652</v>
      </c>
      <c r="BJ18" s="10">
        <f ca="1">'Asset Finance'!BJ$15</f>
        <v>464362.4095528383</v>
      </c>
      <c r="BK18" s="10">
        <f ca="1">'Asset Finance'!BK$15</f>
        <v>445013.97582147003</v>
      </c>
      <c r="BL18" s="10">
        <f ca="1">'Asset Finance'!BL$15</f>
        <v>426471.72682890878</v>
      </c>
      <c r="BM18" s="10">
        <f ca="1">'Asset Finance'!BM$15</f>
        <v>408702.07154437091</v>
      </c>
      <c r="BN18" s="10">
        <f ca="1">'Asset Finance'!BN$15</f>
        <v>391672.81856335542</v>
      </c>
      <c r="BO18" s="10">
        <f ca="1">'Asset Finance'!BO$15</f>
        <v>375353.11778988229</v>
      </c>
      <c r="BP18" s="10">
        <f ca="1">'Asset Finance'!BP$15</f>
        <v>359713.40454863722</v>
      </c>
      <c r="BQ18" s="10">
        <f ca="1">'Asset Finance'!BQ$15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VAT!J$32</f>
        <v>-5940</v>
      </c>
      <c r="K19" s="10">
        <f ca="1">VAT!K$32</f>
        <v>16920</v>
      </c>
      <c r="L19" s="10">
        <f ca="1">VAT!L$32</f>
        <v>-47140</v>
      </c>
      <c r="M19" s="10">
        <f ca="1">VAT!M$32</f>
        <v>-94389.414233242191</v>
      </c>
      <c r="N19" s="10">
        <f ca="1">VAT!N$32</f>
        <v>-144518.82846648438</v>
      </c>
      <c r="O19" s="10">
        <f ca="1">VAT!O$32</f>
        <v>48670.585766757809</v>
      </c>
      <c r="P19" s="10">
        <f ca="1">VAT!P$32</f>
        <v>84829.096972620988</v>
      </c>
      <c r="Q19" s="10">
        <f ca="1">VAT!Q$32</f>
        <v>159307.60817848417</v>
      </c>
      <c r="R19" s="10">
        <f ca="1">VAT!R$32</f>
        <v>4478.5112058631785</v>
      </c>
      <c r="S19" s="10">
        <f ca="1">VAT!S$32</f>
        <v>-7557.7771607563336</v>
      </c>
      <c r="T19" s="10">
        <f ca="1">VAT!T$32</f>
        <v>268405.93447262415</v>
      </c>
      <c r="U19" s="10">
        <f ca="1">VAT!U$32</f>
        <v>-12036.288366619498</v>
      </c>
      <c r="V19" s="10">
        <f ca="1">VAT!V$32</f>
        <v>263385.57735399355</v>
      </c>
      <c r="W19" s="10">
        <f ca="1">VAT!W$32</f>
        <v>489316.53619390458</v>
      </c>
      <c r="X19" s="10">
        <f ca="1">VAT!X$32</f>
        <v>93125.02318424196</v>
      </c>
      <c r="Y19" s="10">
        <f ca="1">VAT!Y$32</f>
        <v>327825.78659019328</v>
      </c>
      <c r="Z19" s="10">
        <f ca="1">VAT!Z$32</f>
        <v>339901.04439600348</v>
      </c>
      <c r="AA19" s="10">
        <f ca="1">VAT!AA$32</f>
        <v>7346.8122114281286</v>
      </c>
      <c r="AB19" s="10">
        <f ca="1">VAT!AB$32</f>
        <v>36565.027774608374</v>
      </c>
      <c r="AC19" s="10">
        <f ca="1">VAT!AC$32</f>
        <v>36341.766717129693</v>
      </c>
      <c r="AD19" s="10">
        <f ca="1">VAT!AD$32</f>
        <v>34097.118137038851</v>
      </c>
      <c r="AE19" s="10">
        <f ca="1">VAT!AE$32</f>
        <v>-54052.316074013419</v>
      </c>
      <c r="AF19" s="10">
        <f ca="1">VAT!AF$32</f>
        <v>289035.40115353878</v>
      </c>
      <c r="AG19" s="10">
        <f ca="1">VAT!AG$32</f>
        <v>54279.507330168621</v>
      </c>
      <c r="AH19" s="10">
        <f ca="1">VAT!AH$32</f>
        <v>394281.76524357114</v>
      </c>
      <c r="AI19" s="10">
        <f ca="1">VAT!AI$32</f>
        <v>764539.52380783099</v>
      </c>
      <c r="AJ19" s="10">
        <f ca="1">VAT!AJ$32</f>
        <v>271971.25842839864</v>
      </c>
      <c r="AK19" s="10">
        <f ca="1">VAT!AK$32</f>
        <v>540997.68641202385</v>
      </c>
      <c r="AL19" s="10">
        <f ca="1">VAT!AL$32</f>
        <v>728267.19340472692</v>
      </c>
      <c r="AM19" s="10">
        <f ca="1">VAT!AM$32</f>
        <v>153169.57069925894</v>
      </c>
      <c r="AN19" s="10">
        <f ca="1">VAT!AN$32</f>
        <v>269992.70098114794</v>
      </c>
      <c r="AO19" s="10">
        <f ca="1">VAT!AO$32</f>
        <v>382940.87802171911</v>
      </c>
      <c r="AP19" s="10">
        <f ca="1">VAT!AP$32</f>
        <v>255588.93542960618</v>
      </c>
      <c r="AQ19" s="10">
        <f ca="1">VAT!AQ$32</f>
        <v>330598.66856174887</v>
      </c>
      <c r="AR19" s="10">
        <f ca="1">VAT!AR$32</f>
        <v>727082.70457110065</v>
      </c>
      <c r="AS19" s="10">
        <f ca="1">VAT!AS$32</f>
        <v>359867.61621458433</v>
      </c>
      <c r="AT19" s="10">
        <f ca="1">VAT!AT$32</f>
        <v>682499.86750024767</v>
      </c>
      <c r="AU19" s="10">
        <f ca="1">VAT!AU$32</f>
        <v>1325909.5156905523</v>
      </c>
      <c r="AV19" s="10">
        <f ca="1">VAT!AV$32</f>
        <v>606054.88223736337</v>
      </c>
      <c r="AW19" s="10">
        <f ca="1">VAT!AW$32</f>
        <v>1065469.437892989</v>
      </c>
      <c r="AX19" s="10">
        <f ca="1">VAT!AX$32</f>
        <v>1775240.8581337868</v>
      </c>
      <c r="AY19" s="10">
        <f ca="1">VAT!AY$32</f>
        <v>562971.11581539409</v>
      </c>
      <c r="AZ19" s="10">
        <f ca="1">VAT!AZ$32</f>
        <v>1266826.3372575107</v>
      </c>
      <c r="BA19" s="10">
        <f ca="1">VAT!BA$32</f>
        <v>2076538.3232583986</v>
      </c>
      <c r="BB19" s="10">
        <f ca="1">VAT!BB$32</f>
        <v>806381.84405402374</v>
      </c>
      <c r="BC19" s="10">
        <f ca="1">VAT!BC$32</f>
        <v>1574082.5127538587</v>
      </c>
      <c r="BD19" s="10">
        <f ca="1">VAT!BD$32</f>
        <v>2482045.2235028557</v>
      </c>
      <c r="BE19" s="10">
        <f ca="1">VAT!BE$32</f>
        <v>1013002.4822518174</v>
      </c>
      <c r="BF19" s="10">
        <f ca="1">VAT!BF$32</f>
        <v>2021657.9724130901</v>
      </c>
      <c r="BG19" s="10">
        <f ca="1">VAT!BG$32</f>
        <v>3134868.2563836453</v>
      </c>
      <c r="BH19" s="10">
        <f ca="1">VAT!BH$32</f>
        <v>1217500.7520646723</v>
      </c>
      <c r="BI19" s="10">
        <f ca="1">VAT!BI$32</f>
        <v>2429851.8159339363</v>
      </c>
      <c r="BJ19" s="10">
        <f ca="1">VAT!BJ$32</f>
        <v>3889916.6089735446</v>
      </c>
      <c r="BK19" s="10">
        <f ca="1">VAT!BK$32</f>
        <v>1275464.1841888004</v>
      </c>
      <c r="BL19" s="10">
        <f ca="1">VAT!BL$32</f>
        <v>2797830.7261723732</v>
      </c>
      <c r="BM19" s="10">
        <f ca="1">VAT!BM$32</f>
        <v>4457910.7972734896</v>
      </c>
      <c r="BN19" s="10">
        <f ca="1">VAT!BN$32</f>
        <v>1583419.7872073874</v>
      </c>
      <c r="BO19" s="10">
        <f ca="1">VAT!BO$32</f>
        <v>3447616.4315995388</v>
      </c>
      <c r="BP19" s="10">
        <f ca="1">VAT!BP$32</f>
        <v>5234337.1600900143</v>
      </c>
      <c r="BQ19" s="10">
        <f ca="1">VAT!BQ$32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'Corporation tax'!J$78</f>
        <v>0</v>
      </c>
      <c r="K20" s="10">
        <f ca="1">'Corporation tax'!K$78</f>
        <v>0</v>
      </c>
      <c r="L20" s="10">
        <f ca="1">'Corporation tax'!L$78</f>
        <v>0</v>
      </c>
      <c r="M20" s="10">
        <f ca="1">'Corporation tax'!M$78</f>
        <v>0</v>
      </c>
      <c r="N20" s="10">
        <f ca="1">'Corporation tax'!N$78</f>
        <v>0</v>
      </c>
      <c r="O20" s="10">
        <f ca="1">'Corporation tax'!O$78</f>
        <v>0</v>
      </c>
      <c r="P20" s="10">
        <f ca="1">'Corporation tax'!P$78</f>
        <v>0</v>
      </c>
      <c r="Q20" s="10">
        <f ca="1">'Corporation tax'!Q$78</f>
        <v>5297.5594239995407</v>
      </c>
      <c r="R20" s="10">
        <f ca="1">'Corporation tax'!R$78</f>
        <v>23454.58183572589</v>
      </c>
      <c r="S20" s="10">
        <f ca="1">'Corporation tax'!S$78</f>
        <v>41382.005102486866</v>
      </c>
      <c r="T20" s="10">
        <f ca="1">'Corporation tax'!T$78</f>
        <v>83309.428369247849</v>
      </c>
      <c r="U20" s="10">
        <f ca="1">'Corporation tax'!U$78</f>
        <v>125236.85163600883</v>
      </c>
      <c r="V20" s="10">
        <f ca="1">'Corporation tax'!V$78</f>
        <v>190080.58307723497</v>
      </c>
      <c r="W20" s="10">
        <f ca="1">'Corporation tax'!W$78</f>
        <v>271530.68671389157</v>
      </c>
      <c r="X20" s="10">
        <f ca="1">'Corporation tax'!X$78</f>
        <v>358506.10425785242</v>
      </c>
      <c r="Y20" s="10">
        <f ca="1">'Corporation tax'!Y$78</f>
        <v>106969.02369459934</v>
      </c>
      <c r="Z20" s="10">
        <f ca="1">'Corporation tax'!Z$78</f>
        <v>215605.62951557967</v>
      </c>
      <c r="AA20" s="10">
        <f ca="1">'Corporation tax'!AA$78</f>
        <v>323099.25393843593</v>
      </c>
      <c r="AB20" s="10">
        <f ca="1">'Corporation tax'!AB$78</f>
        <v>429135.68506479642</v>
      </c>
      <c r="AC20" s="10">
        <f ca="1">'Corporation tax'!AC$78</f>
        <v>533889.16294983902</v>
      </c>
      <c r="AD20" s="10">
        <f ca="1">'Corporation tax'!AD$78</f>
        <v>637283.3992239167</v>
      </c>
      <c r="AE20" s="10">
        <f ca="1">'Corporation tax'!AE$78</f>
        <v>738984.53080181219</v>
      </c>
      <c r="AF20" s="10">
        <f ca="1">'Corporation tax'!AF$78</f>
        <v>851159.96525691659</v>
      </c>
      <c r="AG20" s="10">
        <f ca="1">'Corporation tax'!AG$78</f>
        <v>973718.97991725383</v>
      </c>
      <c r="AH20" s="10">
        <f ca="1">'Corporation tax'!AH$78</f>
        <v>1101323.4957440589</v>
      </c>
      <c r="AI20" s="10">
        <f ca="1">'Corporation tax'!AI$78</f>
        <v>1248713.6416971015</v>
      </c>
      <c r="AJ20" s="10">
        <f ca="1">'Corporation tax'!AJ$78</f>
        <v>1415781.5297293758</v>
      </c>
      <c r="AK20" s="10">
        <f ca="1">'Corporation tax'!AK$78</f>
        <v>174366.76575789065</v>
      </c>
      <c r="AL20" s="10">
        <f ca="1">'Corporation tax'!AL$78</f>
        <v>358191.86995265656</v>
      </c>
      <c r="AM20" s="10">
        <f ca="1">'Corporation tax'!AM$78</f>
        <v>556531.01135117433</v>
      </c>
      <c r="AN20" s="10">
        <f ca="1">'Corporation tax'!AN$78</f>
        <v>768977.27191495243</v>
      </c>
      <c r="AO20" s="10">
        <f ca="1">'Corporation tax'!AO$78</f>
        <v>985673.62599609478</v>
      </c>
      <c r="AP20" s="10">
        <f ca="1">'Corporation tax'!AP$78</f>
        <v>1223651.4968553074</v>
      </c>
      <c r="AQ20" s="10">
        <f ca="1">'Corporation tax'!AQ$78</f>
        <v>1470470.9631195928</v>
      </c>
      <c r="AR20" s="10">
        <f ca="1">'Corporation tax'!AR$78</f>
        <v>1738239.0351382962</v>
      </c>
      <c r="AS20" s="10">
        <f ca="1">'Corporation tax'!AS$78</f>
        <v>2026774.2675674651</v>
      </c>
      <c r="AT20" s="10">
        <f ca="1">'Corporation tax'!AT$78</f>
        <v>2334125.2130064801</v>
      </c>
      <c r="AU20" s="10">
        <f ca="1">'Corporation tax'!AU$78</f>
        <v>2671561.4076750651</v>
      </c>
      <c r="AV20" s="10">
        <f ca="1">'Corporation tax'!AV$78</f>
        <v>3038017.585057735</v>
      </c>
      <c r="AW20" s="10">
        <f ca="1">'Corporation tax'!AW$78</f>
        <v>394056.47162045585</v>
      </c>
      <c r="AX20" s="10">
        <f ca="1">'Corporation tax'!AX$78</f>
        <v>826808.59416121594</v>
      </c>
      <c r="AY20" s="10">
        <f ca="1">'Corporation tax'!AY$78</f>
        <v>1284989.545102691</v>
      </c>
      <c r="AZ20" s="10">
        <f ca="1">'Corporation tax'!AZ$78</f>
        <v>1778959.0223750914</v>
      </c>
      <c r="BA20" s="10">
        <f ca="1">'Corporation tax'!BA$78</f>
        <v>2319593.2161414158</v>
      </c>
      <c r="BB20" s="10">
        <f ca="1">'Corporation tax'!BB$78</f>
        <v>2893385.6120479233</v>
      </c>
      <c r="BC20" s="10">
        <f ca="1">'Corporation tax'!BC$78</f>
        <v>3510434.0880106846</v>
      </c>
      <c r="BD20" s="10">
        <f ca="1">'Corporation tax'!BD$78</f>
        <v>4169353.6645674095</v>
      </c>
      <c r="BE20" s="10">
        <f ca="1">'Corporation tax'!BE$78</f>
        <v>4880352.7841297751</v>
      </c>
      <c r="BF20" s="10">
        <f ca="1">'Corporation tax'!BF$78</f>
        <v>5639070.8052464286</v>
      </c>
      <c r="BG20" s="10">
        <f ca="1">'Corporation tax'!BG$78</f>
        <v>6443799.3248222219</v>
      </c>
      <c r="BH20" s="10">
        <f ca="1">'Corporation tax'!BH$78</f>
        <v>7304407.809826185</v>
      </c>
      <c r="BI20" s="10">
        <f ca="1">'Corporation tax'!BI$78</f>
        <v>913911.00341566838</v>
      </c>
      <c r="BJ20" s="10">
        <f ca="1">'Corporation tax'!BJ$78</f>
        <v>1886733.3086719452</v>
      </c>
      <c r="BK20" s="10">
        <f ca="1">'Corporation tax'!BK$78</f>
        <v>2915933.2707296517</v>
      </c>
      <c r="BL20" s="10">
        <f ca="1">'Corporation tax'!BL$78</f>
        <v>4010498.5785318636</v>
      </c>
      <c r="BM20" s="10">
        <f ca="1">'Corporation tax'!BM$78</f>
        <v>5163593.3193219239</v>
      </c>
      <c r="BN20" s="10">
        <f ca="1">'Corporation tax'!BN$78</f>
        <v>6384204.4643923491</v>
      </c>
      <c r="BO20" s="10">
        <f ca="1">'Corporation tax'!BO$78</f>
        <v>7680806.185361566</v>
      </c>
      <c r="BP20" s="10">
        <f ca="1">'Corporation tax'!BP$78</f>
        <v>9050350.1075187102</v>
      </c>
      <c r="BQ20" s="10">
        <f ca="1">'Corporation tax'!BQ$78</f>
        <v>10501253.115687136</v>
      </c>
    </row>
    <row r="21" spans="5:16384">
      <c r="E21" s="12" t="s">
        <v>226</v>
      </c>
      <c r="F21" s="30"/>
      <c r="G21" s="12" t="s">
        <v>258</v>
      </c>
      <c r="H21" s="56"/>
      <c r="I21" s="30"/>
      <c r="J21" s="12">
        <f t="shared" ref="J21:BQ21" ca="1" si="1" xml:space="preserve"> SUM( J14:J20 )</f>
        <v>-23940</v>
      </c>
      <c r="K21" s="12">
        <f t="shared" ca="1" si="1"/>
        <v>314920</v>
      </c>
      <c r="L21" s="12">
        <f t="shared" ca="1" si="1"/>
        <v>978368.33333333337</v>
      </c>
      <c r="M21" s="12">
        <f t="shared" ca="1" si="1"/>
        <v>1630731.0718778688</v>
      </c>
      <c r="N21" s="12">
        <f t="shared" ca="1" si="1"/>
        <v>2268504.9707233305</v>
      </c>
      <c r="O21" s="12">
        <f t="shared" ca="1" si="1"/>
        <v>3035676.7266569971</v>
      </c>
      <c r="P21" s="12">
        <f t="shared" ca="1" si="1"/>
        <v>4148901.6486591003</v>
      </c>
      <c r="Q21" s="12">
        <f t="shared" ca="1" si="1"/>
        <v>4542408.0296353595</v>
      </c>
      <c r="R21" s="12">
        <f t="shared" ca="1" si="1"/>
        <v>4694494.1691564284</v>
      </c>
      <c r="S21" s="12">
        <f t="shared" ca="1" si="1"/>
        <v>4280536.9258851176</v>
      </c>
      <c r="T21" s="12">
        <f t="shared" ca="1" si="1"/>
        <v>5210356.6983709512</v>
      </c>
      <c r="U21" s="12">
        <f t="shared" ca="1" si="1"/>
        <v>5069106.8431514241</v>
      </c>
      <c r="V21" s="12">
        <f t="shared" ca="1" si="1"/>
        <v>6239334.6786515126</v>
      </c>
      <c r="W21" s="12">
        <f t="shared" ca="1" si="1"/>
        <v>7333986.2022414375</v>
      </c>
      <c r="X21" s="12">
        <f t="shared" ca="1" si="1"/>
        <v>6817536.5817553308</v>
      </c>
      <c r="Y21" s="12">
        <f t="shared" ca="1" si="1"/>
        <v>7899241.7631100239</v>
      </c>
      <c r="Z21" s="12">
        <f t="shared" ca="1" si="1"/>
        <v>7980283.1384421885</v>
      </c>
      <c r="AA21" s="12">
        <f t="shared" ca="1" si="1"/>
        <v>7601790.9286104552</v>
      </c>
      <c r="AB21" s="12">
        <f t="shared" ca="1" si="1"/>
        <v>8159308.8843173953</v>
      </c>
      <c r="AC21" s="12">
        <f t="shared" ca="1" si="1"/>
        <v>8544549.772286633</v>
      </c>
      <c r="AD21" s="12">
        <f t="shared" ca="1" si="1"/>
        <v>8631255.4198247232</v>
      </c>
      <c r="AE21" s="12">
        <f t="shared" ca="1" si="1"/>
        <v>8386110.8412088323</v>
      </c>
      <c r="AF21" s="12">
        <f t="shared" ca="1" si="1"/>
        <v>10731540.061741369</v>
      </c>
      <c r="AG21" s="12">
        <f t="shared" ca="1" si="1"/>
        <v>11058585.665226139</v>
      </c>
      <c r="AH21" s="12">
        <f t="shared" ca="1" si="1"/>
        <v>12879916.484837156</v>
      </c>
      <c r="AI21" s="12">
        <f t="shared" ca="1" si="1"/>
        <v>15317571.694586013</v>
      </c>
      <c r="AJ21" s="12">
        <f t="shared" ca="1" si="1"/>
        <v>14942006.188372485</v>
      </c>
      <c r="AK21" s="12">
        <f t="shared" ca="1" si="1"/>
        <v>13813425.197852336</v>
      </c>
      <c r="AL21" s="12">
        <f t="shared" ca="1" si="1"/>
        <v>14425734.53179637</v>
      </c>
      <c r="AM21" s="12">
        <f t="shared" ca="1" si="1"/>
        <v>14043742.250924384</v>
      </c>
      <c r="AN21" s="12">
        <f t="shared" ca="1" si="1"/>
        <v>14443516.750520226</v>
      </c>
      <c r="AO21" s="12">
        <f t="shared" ca="1" si="1"/>
        <v>14498812.010860858</v>
      </c>
      <c r="AP21" s="12">
        <f t="shared" ca="1" si="1"/>
        <v>15504144.887962755</v>
      </c>
      <c r="AQ21" s="12">
        <f t="shared" ca="1" si="1"/>
        <v>15953151.579992529</v>
      </c>
      <c r="AR21" s="12">
        <f t="shared" ca="1" si="1"/>
        <v>17908969.618460875</v>
      </c>
      <c r="AS21" s="12">
        <f t="shared" ca="1" si="1"/>
        <v>19161165.445872135</v>
      </c>
      <c r="AT21" s="12">
        <f t="shared" ca="1" si="1"/>
        <v>21017826.458124548</v>
      </c>
      <c r="AU21" s="12">
        <f t="shared" ca="1" si="1"/>
        <v>24336859.921498634</v>
      </c>
      <c r="AV21" s="12">
        <f t="shared" ca="1" si="1"/>
        <v>26312094.341512017</v>
      </c>
      <c r="AW21" s="12">
        <f t="shared" ca="1" si="1"/>
        <v>25426302.383615308</v>
      </c>
      <c r="AX21" s="12">
        <f t="shared" ca="1" si="1"/>
        <v>29393633.775805715</v>
      </c>
      <c r="AY21" s="12">
        <f t="shared" ca="1" si="1"/>
        <v>30443607.553425673</v>
      </c>
      <c r="AZ21" s="12">
        <f t="shared" ca="1" si="1"/>
        <v>33809736.738851741</v>
      </c>
      <c r="BA21" s="12">
        <f t="shared" ca="1" si="1"/>
        <v>38089418.982671417</v>
      </c>
      <c r="BB21" s="12">
        <f t="shared" ca="1" si="1"/>
        <v>39977532.401053317</v>
      </c>
      <c r="BC21" s="12">
        <f t="shared" ca="1" si="1"/>
        <v>43852349.350211196</v>
      </c>
      <c r="BD21" s="12">
        <f t="shared" ca="1" si="1"/>
        <v>48236697.547146052</v>
      </c>
      <c r="BE21" s="12">
        <f t="shared" ca="1" si="1"/>
        <v>50874705.806548052</v>
      </c>
      <c r="BF21" s="12">
        <f t="shared" ca="1" si="1"/>
        <v>55757107.492890432</v>
      </c>
      <c r="BG21" s="12">
        <f t="shared" ca="1" si="1"/>
        <v>61247067.276505239</v>
      </c>
      <c r="BH21" s="12">
        <f t="shared" ca="1" si="1"/>
        <v>64314289.893632255</v>
      </c>
      <c r="BI21" s="12">
        <f t="shared" ca="1" si="1"/>
        <v>62796032.290986456</v>
      </c>
      <c r="BJ21" s="12">
        <f t="shared" ca="1" si="1"/>
        <v>70139766.123416483</v>
      </c>
      <c r="BK21" s="12">
        <f t="shared" ca="1" si="1"/>
        <v>72418807.258557528</v>
      </c>
      <c r="BL21" s="12">
        <f t="shared" ca="1" si="1"/>
        <v>80110535.740175441</v>
      </c>
      <c r="BM21" s="12">
        <f t="shared" ca="1" si="1"/>
        <v>88216767.903842941</v>
      </c>
      <c r="BN21" s="12">
        <f t="shared" ca="1" si="1"/>
        <v>91620500.932587996</v>
      </c>
      <c r="BO21" s="12">
        <f t="shared" ca="1" si="1"/>
        <v>100827437.43625133</v>
      </c>
      <c r="BP21" s="12">
        <f t="shared" ca="1" si="1"/>
        <v>109759050.04777673</v>
      </c>
      <c r="BQ21" s="12">
        <f t="shared" ca="1" si="1"/>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Financials!J$24</f>
        <v>-34108.333333333336</v>
      </c>
      <c r="K23" s="19">
        <f ca="1">Financials!K$24</f>
        <v>-63508.333333333343</v>
      </c>
      <c r="L23" s="19">
        <f ca="1">Financials!L$24</f>
        <v>-67716.666666666744</v>
      </c>
      <c r="M23" s="19">
        <f ca="1">Financials!M$24</f>
        <v>-63152.197887977352</v>
      </c>
      <c r="N23" s="19">
        <f ca="1">Financials!N$24</f>
        <v>-77387.81012780685</v>
      </c>
      <c r="O23" s="19">
        <f ca="1">Financials!O$24</f>
        <v>-98792.111121494323</v>
      </c>
      <c r="P23" s="19">
        <f ca="1">Financials!P$24</f>
        <v>-61294.373335464392</v>
      </c>
      <c r="Q23" s="19">
        <f ca="1">Financials!Q$24</f>
        <v>-38745.971045408398</v>
      </c>
      <c r="R23" s="19">
        <f ca="1">Financials!R$24</f>
        <v>21028.766187945381</v>
      </c>
      <c r="S23" s="19">
        <f ca="1">Financials!S$24</f>
        <v>50305.385414223187</v>
      </c>
      <c r="T23" s="19">
        <f ca="1">Financials!T$24</f>
        <v>174966.99382831249</v>
      </c>
      <c r="U23" s="19">
        <f ca="1">Financials!U$24</f>
        <v>286225.7446584953</v>
      </c>
      <c r="V23" s="19">
        <f ca="1">Financials!V$24</f>
        <v>471537.96189085115</v>
      </c>
      <c r="W23" s="19">
        <f ca="1">Financials!W$24</f>
        <v>722202.58631600998</v>
      </c>
      <c r="X23" s="19">
        <f ca="1">Financials!X$24</f>
        <v>979206.9492329834</v>
      </c>
      <c r="Y23" s="19">
        <f ca="1">Financials!Y$24</f>
        <v>1322473.5373997232</v>
      </c>
      <c r="Z23" s="19">
        <f ca="1">Financials!Z$24</f>
        <v>1670881.7757909633</v>
      </c>
      <c r="AA23" s="19">
        <f ca="1">Financials!AA$24</f>
        <v>2013311.1236748509</v>
      </c>
      <c r="AB23" s="19">
        <f ca="1">Financials!AB$24</f>
        <v>2356575.6442897422</v>
      </c>
      <c r="AC23" s="19">
        <f ca="1">Financials!AC$24</f>
        <v>2693233.2632125784</v>
      </c>
      <c r="AD23" s="19">
        <f ca="1">Financials!AD$24</f>
        <v>3015670.8445506133</v>
      </c>
      <c r="AE23" s="19">
        <f ca="1">Financials!AE$24</f>
        <v>3330762.3000382911</v>
      </c>
      <c r="AF23" s="19">
        <f ca="1">Financials!AF$24</f>
        <v>3678703.9422080237</v>
      </c>
      <c r="AG23" s="19">
        <f ca="1">Financials!AG$24</f>
        <v>4058717.1314063519</v>
      </c>
      <c r="AH23" s="19">
        <f ca="1">Financials!AH$24</f>
        <v>4441740.7087195702</v>
      </c>
      <c r="AI23" s="19">
        <f ca="1">Financials!AI$24</f>
        <v>4897706.6462319307</v>
      </c>
      <c r="AJ23" s="19">
        <f ca="1">Financials!AJ$24</f>
        <v>5417579.9262126014</v>
      </c>
      <c r="AK23" s="19">
        <f ca="1">Financials!AK$24</f>
        <v>5968590.7284352519</v>
      </c>
      <c r="AL23" s="19">
        <f ca="1">Financials!AL$24</f>
        <v>6553811.6036057733</v>
      </c>
      <c r="AM23" s="19">
        <f ca="1">Financials!AM$24</f>
        <v>7189120.7612694446</v>
      </c>
      <c r="AN23" s="19">
        <f ca="1">Financials!AN$24</f>
        <v>7880166.6209245808</v>
      </c>
      <c r="AO23" s="19">
        <f ca="1">Financials!AO$24</f>
        <v>8572922.8205908444</v>
      </c>
      <c r="AP23" s="19">
        <f ca="1">Financials!AP$24</f>
        <v>9346642.4158412628</v>
      </c>
      <c r="AQ23" s="19">
        <f ca="1">Financials!AQ$24</f>
        <v>10148752.013053071</v>
      </c>
      <c r="AR23" s="19">
        <f ca="1">Financials!AR$24</f>
        <v>11013083.183331665</v>
      </c>
      <c r="AS23" s="19">
        <f ca="1">Financials!AS$24</f>
        <v>11953480.889049191</v>
      </c>
      <c r="AT23" s="19">
        <f ca="1">Financials!AT$24</f>
        <v>12954835.608917162</v>
      </c>
      <c r="AU23" s="19">
        <f ca="1">Financials!AU$24</f>
        <v>14048064.177234024</v>
      </c>
      <c r="AV23" s="19">
        <f ca="1">Financials!AV$24</f>
        <v>15243937.148096435</v>
      </c>
      <c r="AW23" s="19">
        <f ca="1">Financials!AW$24</f>
        <v>16522668.498186074</v>
      </c>
      <c r="AX23" s="19">
        <f ca="1">Financials!AX$24</f>
        <v>17943728.433602866</v>
      </c>
      <c r="AY23" s="19">
        <f ca="1">Financials!AY$24</f>
        <v>19440002.861494478</v>
      </c>
      <c r="AZ23" s="19">
        <f ca="1">Financials!AZ$24</f>
        <v>21046208.327498421</v>
      </c>
      <c r="BA23" s="19">
        <f ca="1">Financials!BA$24</f>
        <v>22821037.150855936</v>
      </c>
      <c r="BB23" s="19">
        <f ca="1">Financials!BB$24</f>
        <v>24696521.000958957</v>
      </c>
      <c r="BC23" s="19">
        <f ca="1">Financials!BC$24</f>
        <v>26721023.103738286</v>
      </c>
      <c r="BD23" s="19">
        <f ca="1">Financials!BD$24</f>
        <v>28875141.525217623</v>
      </c>
      <c r="BE23" s="19">
        <f ca="1">Financials!BE$24</f>
        <v>31207766.707879983</v>
      </c>
      <c r="BF23" s="19">
        <f ca="1">Financials!BF$24</f>
        <v>33694975.679050252</v>
      </c>
      <c r="BG23" s="19">
        <f ca="1">Financials!BG$24</f>
        <v>36332107.558322914</v>
      </c>
      <c r="BH23" s="19">
        <f ca="1">Financials!BH$24</f>
        <v>39159552.299257852</v>
      </c>
      <c r="BI23" s="19">
        <f ca="1">Financials!BI$24</f>
        <v>42153383.773994602</v>
      </c>
      <c r="BJ23" s="19">
        <f ca="1">Financials!BJ$24</f>
        <v>45344353.921282887</v>
      </c>
      <c r="BK23" s="19">
        <f ca="1">Financials!BK$24</f>
        <v>48718748.20811677</v>
      </c>
      <c r="BL23" s="19">
        <f ca="1">Financials!BL$24</f>
        <v>52313669.315271452</v>
      </c>
      <c r="BM23" s="19">
        <f ca="1">Financials!BM$24</f>
        <v>56088411.247575268</v>
      </c>
      <c r="BN23" s="19">
        <f ca="1">Financials!BN$24</f>
        <v>60090132.693377003</v>
      </c>
      <c r="BO23" s="19">
        <f ca="1">Financials!BO$24</f>
        <v>64339518.616571978</v>
      </c>
      <c r="BP23" s="19">
        <f ca="1">Financials!BP$24</f>
        <v>68833120.855136275</v>
      </c>
      <c r="BQ23" s="19">
        <f ca="1">Financials!BQ$24</f>
        <v>73584272.536620468</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Financials!J$38</f>
        <v>-34108.333333333336</v>
      </c>
      <c r="K25" s="10">
        <f ca="1">Financials!K$38</f>
        <v>-63508.333333333336</v>
      </c>
      <c r="L25" s="10">
        <f ca="1">Financials!L$38</f>
        <v>-67716.666666666672</v>
      </c>
      <c r="M25" s="10">
        <f ca="1">Financials!M$38</f>
        <v>-63152.197887977491</v>
      </c>
      <c r="N25" s="10">
        <f ca="1">Financials!N$38</f>
        <v>-77387.810127806821</v>
      </c>
      <c r="O25" s="10">
        <f ca="1">Financials!O$38</f>
        <v>-98792.111121494177</v>
      </c>
      <c r="P25" s="10">
        <f ca="1">Financials!P$38</f>
        <v>-61294.373335464028</v>
      </c>
      <c r="Q25" s="10">
        <f ca="1">Financials!Q$38</f>
        <v>-38745.971045408362</v>
      </c>
      <c r="R25" s="10">
        <f ca="1">Financials!R$38</f>
        <v>21028.766187944522</v>
      </c>
      <c r="S25" s="10">
        <f ca="1">Financials!S$38</f>
        <v>50305.385414222823</v>
      </c>
      <c r="T25" s="10">
        <f ca="1">Financials!T$38</f>
        <v>174966.99382831081</v>
      </c>
      <c r="U25" s="10">
        <f ca="1">Financials!U$38</f>
        <v>286225.74465849414</v>
      </c>
      <c r="V25" s="10">
        <f ca="1">Financials!V$38</f>
        <v>471537.96189085185</v>
      </c>
      <c r="W25" s="10">
        <f ca="1">Financials!W$38</f>
        <v>722202.58631600952</v>
      </c>
      <c r="X25" s="10">
        <f ca="1">Financials!X$38</f>
        <v>979206.94923298375</v>
      </c>
      <c r="Y25" s="10">
        <f ca="1">Financials!Y$38</f>
        <v>1322473.5373997237</v>
      </c>
      <c r="Z25" s="10">
        <f ca="1">Financials!Z$38</f>
        <v>1670881.7757909633</v>
      </c>
      <c r="AA25" s="10">
        <f ca="1">Financials!AA$38</f>
        <v>2013311.1236748483</v>
      </c>
      <c r="AB25" s="10">
        <f ca="1">Financials!AB$38</f>
        <v>2356575.6442897408</v>
      </c>
      <c r="AC25" s="10">
        <f ca="1">Financials!AC$38</f>
        <v>2693233.2632125793</v>
      </c>
      <c r="AD25" s="10">
        <f ca="1">Financials!AD$38</f>
        <v>3015670.8445506133</v>
      </c>
      <c r="AE25" s="10">
        <f ca="1">Financials!AE$38</f>
        <v>3330762.3000382911</v>
      </c>
      <c r="AF25" s="10">
        <f ca="1">Financials!AF$38</f>
        <v>3678703.9422080233</v>
      </c>
      <c r="AG25" s="10">
        <f ca="1">Financials!AG$38</f>
        <v>4058717.1314063538</v>
      </c>
      <c r="AH25" s="10">
        <f ca="1">Financials!AH$38</f>
        <v>4441740.7087195702</v>
      </c>
      <c r="AI25" s="10">
        <f ca="1">Financials!AI$38</f>
        <v>4897706.6462319326</v>
      </c>
      <c r="AJ25" s="10">
        <f ca="1">Financials!AJ$38</f>
        <v>5417579.9262126014</v>
      </c>
      <c r="AK25" s="10">
        <f ca="1">Financials!AK$38</f>
        <v>5968590.7284352537</v>
      </c>
      <c r="AL25" s="10">
        <f ca="1">Financials!AL$38</f>
        <v>6553811.6036057789</v>
      </c>
      <c r="AM25" s="10">
        <f ca="1">Financials!AM$38</f>
        <v>7189120.7612694446</v>
      </c>
      <c r="AN25" s="10">
        <f ca="1">Financials!AN$38</f>
        <v>7880166.6209245846</v>
      </c>
      <c r="AO25" s="10">
        <f ca="1">Financials!AO$38</f>
        <v>8572922.8205908481</v>
      </c>
      <c r="AP25" s="10">
        <f ca="1">Financials!AP$38</f>
        <v>9346642.4158412665</v>
      </c>
      <c r="AQ25" s="10">
        <f ca="1">Financials!AQ$38</f>
        <v>10148752.013053076</v>
      </c>
      <c r="AR25" s="10">
        <f ca="1">Financials!AR$38</f>
        <v>11013083.18333167</v>
      </c>
      <c r="AS25" s="10">
        <f ca="1">Financials!AS$38</f>
        <v>11953480.889049191</v>
      </c>
      <c r="AT25" s="10">
        <f ca="1">Financials!AT$38</f>
        <v>12954835.608917173</v>
      </c>
      <c r="AU25" s="10">
        <f ca="1">Financials!AU$38</f>
        <v>14048064.177234029</v>
      </c>
      <c r="AV25" s="10">
        <f ca="1">Financials!AV$38</f>
        <v>15243937.148096446</v>
      </c>
      <c r="AW25" s="10">
        <f ca="1">Financials!AW$38</f>
        <v>16522668.498186078</v>
      </c>
      <c r="AX25" s="10">
        <f ca="1">Financials!AX$38</f>
        <v>17943728.43360287</v>
      </c>
      <c r="AY25" s="10">
        <f ca="1">Financials!AY$38</f>
        <v>19440002.861494482</v>
      </c>
      <c r="AZ25" s="10">
        <f ca="1">Financials!AZ$38</f>
        <v>21046208.327498429</v>
      </c>
      <c r="BA25" s="10">
        <f ca="1">Financials!BA$38</f>
        <v>22821037.150855947</v>
      </c>
      <c r="BB25" s="10">
        <f ca="1">Financials!BB$38</f>
        <v>24696521.000958964</v>
      </c>
      <c r="BC25" s="10">
        <f ca="1">Financials!BC$38</f>
        <v>26721023.103738304</v>
      </c>
      <c r="BD25" s="10">
        <f ca="1">Financials!BD$38</f>
        <v>28875141.525217637</v>
      </c>
      <c r="BE25" s="10">
        <f ca="1">Financials!BE$38</f>
        <v>31207766.70787999</v>
      </c>
      <c r="BF25" s="10">
        <f ca="1">Financials!BF$38</f>
        <v>33694975.679050267</v>
      </c>
      <c r="BG25" s="10">
        <f ca="1">Financials!BG$38</f>
        <v>36332107.558322944</v>
      </c>
      <c r="BH25" s="10">
        <f ca="1">Financials!BH$38</f>
        <v>39159552.29925786</v>
      </c>
      <c r="BI25" s="10">
        <f ca="1">Financials!BI$38</f>
        <v>42153383.773994625</v>
      </c>
      <c r="BJ25" s="10">
        <f ca="1">Financials!BJ$38</f>
        <v>45344353.921282917</v>
      </c>
      <c r="BK25" s="10">
        <f ca="1">Financials!BK$38</f>
        <v>48718748.208116777</v>
      </c>
      <c r="BL25" s="10">
        <f ca="1">Financials!BL$38</f>
        <v>52313669.315271474</v>
      </c>
      <c r="BM25" s="10">
        <f ca="1">Financials!BM$38</f>
        <v>56088411.247575298</v>
      </c>
      <c r="BN25" s="10">
        <f ca="1">Financials!BN$38</f>
        <v>60090132.693377018</v>
      </c>
      <c r="BO25" s="10">
        <f ca="1">Financials!BO$38</f>
        <v>64339518.616572008</v>
      </c>
      <c r="BP25" s="10">
        <f ca="1">Financials!BP$38</f>
        <v>68833120.85513629</v>
      </c>
      <c r="BQ25" s="10">
        <f ca="1">Financials!BQ$38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Equity!J$13</f>
        <v>0</v>
      </c>
      <c r="K26" s="10">
        <f>Equity!K$13</f>
        <v>0</v>
      </c>
      <c r="L26" s="10">
        <f>Equity!L$13</f>
        <v>0</v>
      </c>
      <c r="M26" s="10">
        <f>Equity!M$13</f>
        <v>0</v>
      </c>
      <c r="N26" s="10">
        <f>Equity!N$13</f>
        <v>0</v>
      </c>
      <c r="O26" s="10">
        <f>Equity!O$13</f>
        <v>0</v>
      </c>
      <c r="P26" s="10">
        <f>Equity!P$13</f>
        <v>0</v>
      </c>
      <c r="Q26" s="10">
        <f>Equity!Q$13</f>
        <v>0</v>
      </c>
      <c r="R26" s="10">
        <f>Equity!R$13</f>
        <v>0</v>
      </c>
      <c r="S26" s="10">
        <f>Equity!S$13</f>
        <v>0</v>
      </c>
      <c r="T26" s="10">
        <f>Equity!T$13</f>
        <v>0</v>
      </c>
      <c r="U26" s="10">
        <f>Equity!U$13</f>
        <v>0</v>
      </c>
      <c r="V26" s="10">
        <f>Equity!V$13</f>
        <v>0</v>
      </c>
      <c r="W26" s="10">
        <f>Equity!W$13</f>
        <v>0</v>
      </c>
      <c r="X26" s="10">
        <f>Equity!X$13</f>
        <v>0</v>
      </c>
      <c r="Y26" s="10">
        <f>Equity!Y$13</f>
        <v>0</v>
      </c>
      <c r="Z26" s="10">
        <f>Equity!Z$13</f>
        <v>0</v>
      </c>
      <c r="AA26" s="10">
        <f>Equity!AA$13</f>
        <v>0</v>
      </c>
      <c r="AB26" s="10">
        <f>Equity!AB$13</f>
        <v>0</v>
      </c>
      <c r="AC26" s="10">
        <f>Equity!AC$13</f>
        <v>0</v>
      </c>
      <c r="AD26" s="10">
        <f>Equity!AD$13</f>
        <v>0</v>
      </c>
      <c r="AE26" s="10">
        <f>Equity!AE$13</f>
        <v>0</v>
      </c>
      <c r="AF26" s="10">
        <f>Equity!AF$13</f>
        <v>0</v>
      </c>
      <c r="AG26" s="10">
        <f>Equity!AG$13</f>
        <v>0</v>
      </c>
      <c r="AH26" s="10">
        <f>Equity!AH$13</f>
        <v>0</v>
      </c>
      <c r="AI26" s="10">
        <f>Equity!AI$13</f>
        <v>0</v>
      </c>
      <c r="AJ26" s="10">
        <f>Equity!AJ$13</f>
        <v>0</v>
      </c>
      <c r="AK26" s="10">
        <f>Equity!AK$13</f>
        <v>0</v>
      </c>
      <c r="AL26" s="10">
        <f>Equity!AL$13</f>
        <v>0</v>
      </c>
      <c r="AM26" s="10">
        <f>Equity!AM$13</f>
        <v>0</v>
      </c>
      <c r="AN26" s="10">
        <f>Equity!AN$13</f>
        <v>0</v>
      </c>
      <c r="AO26" s="10">
        <f>Equity!AO$13</f>
        <v>0</v>
      </c>
      <c r="AP26" s="10">
        <f>Equity!AP$13</f>
        <v>0</v>
      </c>
      <c r="AQ26" s="10">
        <f>Equity!AQ$13</f>
        <v>0</v>
      </c>
      <c r="AR26" s="10">
        <f>Equity!AR$13</f>
        <v>0</v>
      </c>
      <c r="AS26" s="10">
        <f>Equity!AS$13</f>
        <v>0</v>
      </c>
      <c r="AT26" s="10">
        <f>Equity!AT$13</f>
        <v>0</v>
      </c>
      <c r="AU26" s="10">
        <f>Equity!AU$13</f>
        <v>0</v>
      </c>
      <c r="AV26" s="10">
        <f>Equity!AV$13</f>
        <v>0</v>
      </c>
      <c r="AW26" s="10">
        <f>Equity!AW$13</f>
        <v>0</v>
      </c>
      <c r="AX26" s="10">
        <f>Equity!AX$13</f>
        <v>0</v>
      </c>
      <c r="AY26" s="10">
        <f>Equity!AY$13</f>
        <v>0</v>
      </c>
      <c r="AZ26" s="10">
        <f>Equity!AZ$13</f>
        <v>0</v>
      </c>
      <c r="BA26" s="10">
        <f>Equity!BA$13</f>
        <v>0</v>
      </c>
      <c r="BB26" s="10">
        <f>Equity!BB$13</f>
        <v>0</v>
      </c>
      <c r="BC26" s="10">
        <f>Equity!BC$13</f>
        <v>0</v>
      </c>
      <c r="BD26" s="10">
        <f>Equity!BD$13</f>
        <v>0</v>
      </c>
      <c r="BE26" s="10">
        <f>Equity!BE$13</f>
        <v>0</v>
      </c>
      <c r="BF26" s="10">
        <f>Equity!BF$13</f>
        <v>0</v>
      </c>
      <c r="BG26" s="10">
        <f>Equity!BG$13</f>
        <v>0</v>
      </c>
      <c r="BH26" s="10">
        <f>Equity!BH$13</f>
        <v>0</v>
      </c>
      <c r="BI26" s="10">
        <f>Equity!BI$13</f>
        <v>0</v>
      </c>
      <c r="BJ26" s="10">
        <f>Equity!BJ$13</f>
        <v>0</v>
      </c>
      <c r="BK26" s="10">
        <f>Equity!BK$13</f>
        <v>0</v>
      </c>
      <c r="BL26" s="10">
        <f>Equity!BL$13</f>
        <v>0</v>
      </c>
      <c r="BM26" s="10">
        <f>Equity!BM$13</f>
        <v>0</v>
      </c>
      <c r="BN26" s="10">
        <f>Equity!BN$13</f>
        <v>0</v>
      </c>
      <c r="BO26" s="10">
        <f>Equity!BO$13</f>
        <v>0</v>
      </c>
      <c r="BP26" s="10">
        <f>Equity!BP$13</f>
        <v>0</v>
      </c>
      <c r="BQ26" s="10">
        <f>Equity!BQ$13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Financials!J$30</f>
        <v>-34108.333333333336</v>
      </c>
      <c r="K27" s="19">
        <f ca="1">Financials!K$30</f>
        <v>-63508.333333333336</v>
      </c>
      <c r="L27" s="19">
        <f ca="1">Financials!L$30</f>
        <v>-67716.666666666672</v>
      </c>
      <c r="M27" s="19">
        <f ca="1">Financials!M$30</f>
        <v>-63152.197887977491</v>
      </c>
      <c r="N27" s="19">
        <f ca="1">Financials!N$30</f>
        <v>-77387.810127806821</v>
      </c>
      <c r="O27" s="19">
        <f ca="1">Financials!O$30</f>
        <v>-98792.111121494177</v>
      </c>
      <c r="P27" s="19">
        <f ca="1">Financials!P$30</f>
        <v>-61294.373335464028</v>
      </c>
      <c r="Q27" s="19">
        <f ca="1">Financials!Q$30</f>
        <v>-38745.971045408362</v>
      </c>
      <c r="R27" s="19">
        <f ca="1">Financials!R$30</f>
        <v>21028.766187944522</v>
      </c>
      <c r="S27" s="19">
        <f ca="1">Financials!S$30</f>
        <v>50305.385414222823</v>
      </c>
      <c r="T27" s="19">
        <f ca="1">Financials!T$30</f>
        <v>174966.99382831081</v>
      </c>
      <c r="U27" s="19">
        <f ca="1">Financials!U$30</f>
        <v>286225.74465849414</v>
      </c>
      <c r="V27" s="19">
        <f ca="1">Financials!V$30</f>
        <v>471537.96189085185</v>
      </c>
      <c r="W27" s="19">
        <f ca="1">Financials!W$30</f>
        <v>722202.58631600952</v>
      </c>
      <c r="X27" s="19">
        <f ca="1">Financials!X$30</f>
        <v>979206.94923298375</v>
      </c>
      <c r="Y27" s="19">
        <f ca="1">Financials!Y$30</f>
        <v>1322473.5373997237</v>
      </c>
      <c r="Z27" s="19">
        <f ca="1">Financials!Z$30</f>
        <v>1670881.7757909633</v>
      </c>
      <c r="AA27" s="19">
        <f ca="1">Financials!AA$30</f>
        <v>2013311.1236748483</v>
      </c>
      <c r="AB27" s="19">
        <f ca="1">Financials!AB$30</f>
        <v>2356575.6442897408</v>
      </c>
      <c r="AC27" s="19">
        <f ca="1">Financials!AC$30</f>
        <v>2693233.2632125793</v>
      </c>
      <c r="AD27" s="19">
        <f ca="1">Financials!AD$30</f>
        <v>3015670.8445506133</v>
      </c>
      <c r="AE27" s="19">
        <f ca="1">Financials!AE$30</f>
        <v>3330762.3000382911</v>
      </c>
      <c r="AF27" s="19">
        <f ca="1">Financials!AF$30</f>
        <v>3678703.9422080233</v>
      </c>
      <c r="AG27" s="19">
        <f ca="1">Financials!AG$30</f>
        <v>4058717.1314063538</v>
      </c>
      <c r="AH27" s="19">
        <f ca="1">Financials!AH$30</f>
        <v>4441740.7087195702</v>
      </c>
      <c r="AI27" s="19">
        <f ca="1">Financials!AI$30</f>
        <v>4897706.6462319326</v>
      </c>
      <c r="AJ27" s="19">
        <f ca="1">Financials!AJ$30</f>
        <v>5417579.9262126014</v>
      </c>
      <c r="AK27" s="19">
        <f ca="1">Financials!AK$30</f>
        <v>5968590.7284352537</v>
      </c>
      <c r="AL27" s="19">
        <f ca="1">Financials!AL$30</f>
        <v>6553811.6036057789</v>
      </c>
      <c r="AM27" s="19">
        <f ca="1">Financials!AM$30</f>
        <v>7189120.7612694446</v>
      </c>
      <c r="AN27" s="19">
        <f ca="1">Financials!AN$30</f>
        <v>7880166.6209245846</v>
      </c>
      <c r="AO27" s="19">
        <f ca="1">Financials!AO$30</f>
        <v>8572922.8205908481</v>
      </c>
      <c r="AP27" s="19">
        <f ca="1">Financials!AP$30</f>
        <v>9346642.4158412665</v>
      </c>
      <c r="AQ27" s="19">
        <f ca="1">Financials!AQ$30</f>
        <v>10148752.013053076</v>
      </c>
      <c r="AR27" s="19">
        <f ca="1">Financials!AR$30</f>
        <v>11013083.18333167</v>
      </c>
      <c r="AS27" s="19">
        <f ca="1">Financials!AS$30</f>
        <v>11953480.889049191</v>
      </c>
      <c r="AT27" s="19">
        <f ca="1">Financials!AT$30</f>
        <v>12954835.608917173</v>
      </c>
      <c r="AU27" s="19">
        <f ca="1">Financials!AU$30</f>
        <v>14048064.177234029</v>
      </c>
      <c r="AV27" s="19">
        <f ca="1">Financials!AV$30</f>
        <v>15243937.148096446</v>
      </c>
      <c r="AW27" s="19">
        <f ca="1">Financials!AW$30</f>
        <v>16522668.498186078</v>
      </c>
      <c r="AX27" s="19">
        <f ca="1">Financials!AX$30</f>
        <v>17943728.43360287</v>
      </c>
      <c r="AY27" s="19">
        <f ca="1">Financials!AY$30</f>
        <v>19440002.861494482</v>
      </c>
      <c r="AZ27" s="19">
        <f ca="1">Financials!AZ$30</f>
        <v>21046208.327498429</v>
      </c>
      <c r="BA27" s="19">
        <f ca="1">Financials!BA$30</f>
        <v>22821037.150855947</v>
      </c>
      <c r="BB27" s="19">
        <f ca="1">Financials!BB$30</f>
        <v>24696521.000958964</v>
      </c>
      <c r="BC27" s="19">
        <f ca="1">Financials!BC$30</f>
        <v>26721023.103738304</v>
      </c>
      <c r="BD27" s="19">
        <f ca="1">Financials!BD$30</f>
        <v>28875141.525217637</v>
      </c>
      <c r="BE27" s="19">
        <f ca="1">Financials!BE$30</f>
        <v>31207766.70787999</v>
      </c>
      <c r="BF27" s="19">
        <f ca="1">Financials!BF$30</f>
        <v>33694975.679050267</v>
      </c>
      <c r="BG27" s="19">
        <f ca="1">Financials!BG$30</f>
        <v>36332107.558322944</v>
      </c>
      <c r="BH27" s="19">
        <f ca="1">Financials!BH$30</f>
        <v>39159552.29925786</v>
      </c>
      <c r="BI27" s="19">
        <f ca="1">Financials!BI$30</f>
        <v>42153383.773994625</v>
      </c>
      <c r="BJ27" s="19">
        <f ca="1">Financials!BJ$30</f>
        <v>45344353.921282917</v>
      </c>
      <c r="BK27" s="19">
        <f ca="1">Financials!BK$30</f>
        <v>48718748.208116777</v>
      </c>
      <c r="BL27" s="19">
        <f ca="1">Financials!BL$30</f>
        <v>52313669.315271474</v>
      </c>
      <c r="BM27" s="19">
        <f ca="1">Financials!BM$30</f>
        <v>56088411.247575298</v>
      </c>
      <c r="BN27" s="19">
        <f ca="1">Financials!BN$30</f>
        <v>60090132.693377018</v>
      </c>
      <c r="BO27" s="19">
        <f ca="1">Financials!BO$30</f>
        <v>64339518.616572008</v>
      </c>
      <c r="BP27" s="19">
        <f ca="1">Financials!BP$30</f>
        <v>68833120.85513629</v>
      </c>
      <c r="BQ27" s="19">
        <f ca="1">Financials!BQ$30</f>
        <v>73584272.536620528</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3">
    <cfRule type="cellIs" dxfId="115" priority="8" stopIfTrue="1" operator="notEqual">
      <formula>0</formula>
    </cfRule>
    <cfRule type="cellIs" dxfId="114" priority="9" stopIfTrue="1" operator="equal">
      <formula>""</formula>
    </cfRule>
  </conditionalFormatting>
  <conditionalFormatting sqref="J3:BQ3">
    <cfRule type="cellIs" dxfId="113" priority="6" stopIfTrue="1" operator="equal">
      <formula>"Construction"</formula>
    </cfRule>
    <cfRule type="cellIs" dxfId="112" priority="7" stopIfTrue="1" operator="equal">
      <formula>"Operations"</formula>
    </cfRule>
  </conditionalFormatting>
  <conditionalFormatting sqref="J3:BQ3">
    <cfRule type="cellIs" dxfId="111" priority="5" operator="equal">
      <formula>"Fin Close"</formula>
    </cfRule>
  </conditionalFormatting>
  <conditionalFormatting sqref="J3:BQ3">
    <cfRule type="cellIs" dxfId="110" priority="3" operator="equal">
      <formula>"PPA ext."</formula>
    </cfRule>
    <cfRule type="cellIs" dxfId="109" priority="4" operator="equal">
      <formula>"Delay"</formula>
    </cfRule>
  </conditionalFormatting>
  <conditionalFormatting sqref="F2">
    <cfRule type="cellIs" dxfId="108" priority="1" stopIfTrue="1" operator="notEqual">
      <formula>0</formula>
    </cfRule>
    <cfRule type="cellIs" dxfId="107"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5" width="11.77734375" bestFit="1" customWidth="1"/>
    <col min="16" max="25" width="13.21875" bestFit="1" customWidth="1"/>
    <col min="26" max="29" width="14.44140625" bestFit="1" customWidth="1"/>
  </cols>
  <sheetData>
    <row r="1" spans="1:29" s="73" customFormat="1" ht="25">
      <c r="A1" s="46" t="str">
        <f ca="1" xml:space="preserve"> RIGHT(CELL("filename", A1), LEN(CELL("filename", A1)) - SEARCH("]", CELL("filename", A1)))</f>
        <v>Balance Sheet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Time!$J337:$BQ337, Time!J$28, Assets!$J23:$BQ23)</f>
        <v>350000</v>
      </c>
      <c r="K8" s="10">
        <f ca="1" xml:space="preserve"> SUMIF( Time!$J337:$BQ337, Time!K$28, Assets!$J23:$BQ23)</f>
        <v>1050000</v>
      </c>
      <c r="L8" s="10">
        <f ca="1" xml:space="preserve"> SUMIF( Time!$J337:$BQ337, Time!L$28, Assets!$J23:$BQ23)</f>
        <v>1750000</v>
      </c>
      <c r="M8" s="10">
        <f ca="1" xml:space="preserve"> SUMIF( Time!$J337:$BQ337, Time!M$28, Assets!$J23:$BQ23)</f>
        <v>1750000</v>
      </c>
      <c r="N8" s="10">
        <f ca="1" xml:space="preserve"> SUMIF( Time!$J337:$BQ337, Time!N$28, Assets!$J23:$BQ23)</f>
        <v>1750000</v>
      </c>
      <c r="O8" s="10">
        <f ca="1" xml:space="preserve"> SUMIF( Time!$J337:$BQ337, Time!O$28, Assets!$J23:$BQ23)</f>
        <v>2275000</v>
      </c>
      <c r="P8" s="10">
        <f ca="1" xml:space="preserve"> SUMIF( Time!$J337:$BQ337, Time!P$28, Assets!$J23:$BQ23)</f>
        <v>3150000</v>
      </c>
      <c r="Q8" s="10">
        <f ca="1" xml:space="preserve"> SUMIF( Time!$J337:$BQ337, Time!Q$28, Assets!$J23:$BQ23)</f>
        <v>4200000</v>
      </c>
      <c r="R8" s="10">
        <f ca="1" xml:space="preserve"> SUMIF( Time!$J337:$BQ337, Time!R$28, Assets!$J23:$BQ23)</f>
        <v>5320000</v>
      </c>
      <c r="S8" s="10">
        <f ca="1" xml:space="preserve"> SUMIF( Time!$J337:$BQ337, Time!S$28, Assets!$J23:$BQ23)</f>
        <v>6650000</v>
      </c>
      <c r="T8" s="10">
        <f ca="1" xml:space="preserve"> SUMIF( Time!$J337:$BQ337, Time!T$28, Assets!$J23:$BQ23)</f>
        <v>8295000</v>
      </c>
      <c r="U8" s="10">
        <f ca="1" xml:space="preserve"> SUMIF( Time!$J337:$BQ337, Time!U$28, Assets!$J23:$BQ23)</f>
        <v>10220000</v>
      </c>
      <c r="V8" s="10">
        <f ca="1" xml:space="preserve"> SUMIF( Time!$J337:$BQ337, Time!V$28, Assets!$J23:$BQ23)</f>
        <v>12605051.854907507</v>
      </c>
      <c r="W8" s="10">
        <f ca="1" xml:space="preserve"> SUMIF( Time!$J337:$BQ337, Time!W$28, Assets!$J23:$BQ23)</f>
        <v>15403481.323280858</v>
      </c>
      <c r="X8" s="10">
        <f ca="1" xml:space="preserve"> SUMIF( Time!$J337:$BQ337, Time!X$28, Assets!$J23:$BQ23)</f>
        <v>18594168.6553942</v>
      </c>
      <c r="Y8" s="10">
        <f ca="1" xml:space="preserve"> SUMIF( Time!$J337:$BQ337, Time!Y$28, Assets!$J23:$BQ23)</f>
        <v>22501998.094606489</v>
      </c>
      <c r="Z8" s="10">
        <f ca="1" xml:space="preserve"> SUMIF( Time!$J337:$BQ337, Time!Z$28, Assets!$J23:$BQ23)</f>
        <v>27002601.804421503</v>
      </c>
      <c r="AA8" s="10">
        <f ca="1" xml:space="preserve"> SUMIF( Time!$J337:$BQ337, Time!AA$28, Assets!$J23:$BQ23)</f>
        <v>32203960.741168205</v>
      </c>
      <c r="AB8" s="10">
        <f ca="1" xml:space="preserve"> SUMIF( Time!$J337:$BQ337, Time!AB$28, Assets!$J23:$BQ23)</f>
        <v>38350835.405394889</v>
      </c>
      <c r="AC8" s="10">
        <f ca="1" xml:space="preserve"> SUMIF( Time!$J337:$BQ337, Time!AC$28, Assets!$J23:$BQ23)</f>
        <v>45518994.283819467</v>
      </c>
    </row>
    <row r="9" spans="1:2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Time!$J337:$BQ337, Time!J$28, Assets!$J32:$BQ32)</f>
        <v>21875</v>
      </c>
      <c r="K9" s="10">
        <f ca="1" xml:space="preserve"> SUMIF( Time!$J337:$BQ337, Time!K$28, Assets!$J32:$BQ32)</f>
        <v>36458.333333333336</v>
      </c>
      <c r="L9" s="10">
        <f ca="1" xml:space="preserve"> SUMIF( Time!$J337:$BQ337, Time!L$28, Assets!$J32:$BQ32)</f>
        <v>21875</v>
      </c>
      <c r="M9" s="10">
        <f ca="1" xml:space="preserve"> SUMIF( Time!$J337:$BQ337, Time!M$28, Assets!$J32:$BQ32)</f>
        <v>-80208.333333333343</v>
      </c>
      <c r="N9" s="10">
        <f ca="1" xml:space="preserve"> SUMIF( Time!$J337:$BQ337, Time!N$28, Assets!$J32:$BQ32)</f>
        <v>-269791.66666666669</v>
      </c>
      <c r="O9" s="10">
        <f ca="1" xml:space="preserve"> SUMIF( Time!$J337:$BQ337, Time!O$28, Assets!$J32:$BQ32)</f>
        <v>-466666.66666666669</v>
      </c>
      <c r="P9" s="10">
        <f ca="1" xml:space="preserve"> SUMIF( Time!$J337:$BQ337, Time!P$28, Assets!$J32:$BQ32)</f>
        <v>-648958.33333333337</v>
      </c>
      <c r="Q9" s="10">
        <f ca="1" xml:space="preserve"> SUMIF( Time!$J337:$BQ337, Time!Q$28, Assets!$J32:$BQ32)</f>
        <v>-867708.33333333337</v>
      </c>
      <c r="R9" s="10">
        <f ca="1" xml:space="preserve"> SUMIF( Time!$J337:$BQ337, Time!R$28, Assets!$J32:$BQ32)</f>
        <v>-1071875</v>
      </c>
      <c r="S9" s="10">
        <f ca="1" xml:space="preserve"> SUMIF( Time!$J337:$BQ337, Time!S$28, Assets!$J32:$BQ32)</f>
        <v>-1222083.3333333333</v>
      </c>
      <c r="T9" s="10">
        <f ca="1" xml:space="preserve"> SUMIF( Time!$J337:$BQ337, Time!T$28, Assets!$J32:$BQ32)</f>
        <v>-1246874.9999999998</v>
      </c>
      <c r="U9" s="10">
        <f ca="1" xml:space="preserve"> SUMIF( Time!$J337:$BQ337, Time!U$28, Assets!$J32:$BQ32)</f>
        <v>-1306666.6666666665</v>
      </c>
      <c r="V9" s="10">
        <f ca="1" xml:space="preserve"> SUMIF( Time!$J337:$BQ337, Time!V$28, Assets!$J32:$BQ32)</f>
        <v>-1452875.0656791776</v>
      </c>
      <c r="W9" s="10">
        <f ca="1" xml:space="preserve"> SUMIF( Time!$J337:$BQ337, Time!W$28, Assets!$J32:$BQ32)</f>
        <v>-1679037.2933350091</v>
      </c>
      <c r="X9" s="10">
        <f ca="1" xml:space="preserve"> SUMIF( Time!$J337:$BQ337, Time!X$28, Assets!$J32:$BQ32)</f>
        <v>-2007568.0133167424</v>
      </c>
      <c r="Y9" s="10">
        <f ca="1" xml:space="preserve"> SUMIF( Time!$J337:$BQ337, Time!Y$28, Assets!$J32:$BQ32)</f>
        <v>-2439502.4881142713</v>
      </c>
      <c r="Z9" s="10">
        <f ca="1" xml:space="preserve"> SUMIF( Time!$J337:$BQ337, Time!Z$28, Assets!$J32:$BQ32)</f>
        <v>-2898523.2146317712</v>
      </c>
      <c r="AA9" s="10">
        <f ca="1" xml:space="preserve"> SUMIF( Time!$J337:$BQ337, Time!AA$28, Assets!$J32:$BQ32)</f>
        <v>-3369722.4317692439</v>
      </c>
      <c r="AB9" s="10">
        <f ca="1" xml:space="preserve"> SUMIF( Time!$J337:$BQ337, Time!AB$28, Assets!$J32:$BQ32)</f>
        <v>-3784762.8002251862</v>
      </c>
      <c r="AC9" s="10">
        <f ca="1" xml:space="preserve"> SUMIF( Time!$J337:$BQ337, Time!AC$28, Assets!$J32:$BQ32)</f>
        <v>-4294464.8449793877</v>
      </c>
    </row>
    <row r="10" spans="1:2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Time!$J337:$BQ337, Time!J$28, 'Working Capital'!$J45:$BQ45)</f>
        <v>345600</v>
      </c>
      <c r="K10" s="10">
        <f ca="1" xml:space="preserve"> SUMIF( Time!$J337:$BQ337, Time!K$28, 'Working Capital'!$J45:$BQ45)</f>
        <v>518400</v>
      </c>
      <c r="L10" s="10">
        <f ca="1" xml:space="preserve"> SUMIF( Time!$J337:$BQ337, Time!L$28, 'Working Capital'!$J45:$BQ45)</f>
        <v>1036800</v>
      </c>
      <c r="M10" s="10">
        <f ca="1" xml:space="preserve"> SUMIF( Time!$J337:$BQ337, Time!M$28, 'Working Capital'!$J45:$BQ45)</f>
        <v>1728000</v>
      </c>
      <c r="N10" s="10">
        <f ca="1" xml:space="preserve"> SUMIF( Time!$J337:$BQ337, Time!N$28, 'Working Capital'!$J45:$BQ45)</f>
        <v>2073600</v>
      </c>
      <c r="O10" s="10">
        <f ca="1" xml:space="preserve"> SUMIF( Time!$J337:$BQ337, Time!O$28, 'Working Capital'!$J45:$BQ45)</f>
        <v>716141.72937192069</v>
      </c>
      <c r="P10" s="10">
        <f ca="1" xml:space="preserve"> SUMIF( Time!$J337:$BQ337, Time!P$28, 'Working Capital'!$J45:$BQ45)</f>
        <v>1036800.0000000005</v>
      </c>
      <c r="Q10" s="10">
        <f ca="1" xml:space="preserve"> SUMIF( Time!$J337:$BQ337, Time!Q$28, 'Working Capital'!$J45:$BQ45)</f>
        <v>3456000.0000000005</v>
      </c>
      <c r="R10" s="10">
        <f ca="1" xml:space="preserve"> SUMIF( Time!$J337:$BQ337, Time!R$28, 'Working Capital'!$J45:$BQ45)</f>
        <v>5184000</v>
      </c>
      <c r="S10" s="10">
        <f ca="1" xml:space="preserve"> SUMIF( Time!$J337:$BQ337, Time!S$28, 'Working Capital'!$J45:$BQ45)</f>
        <v>3653741.7293719202</v>
      </c>
      <c r="T10" s="10">
        <f ca="1" xml:space="preserve"> SUMIF( Time!$J337:$BQ337, Time!T$28, 'Working Capital'!$J45:$BQ45)</f>
        <v>4320000</v>
      </c>
      <c r="U10" s="10">
        <f ca="1" xml:space="preserve"> SUMIF( Time!$J337:$BQ337, Time!U$28, 'Working Capital'!$J45:$BQ45)</f>
        <v>6912000</v>
      </c>
      <c r="V10" s="10">
        <f ca="1" xml:space="preserve"> SUMIF( Time!$J337:$BQ337, Time!V$28, 'Working Capital'!$J45:$BQ45)</f>
        <v>10368000</v>
      </c>
      <c r="W10" s="10">
        <f ca="1" xml:space="preserve"> SUMIF( Time!$J337:$BQ337, Time!W$28, 'Working Capital'!$J45:$BQ45)</f>
        <v>11232000</v>
      </c>
      <c r="X10" s="10">
        <f ca="1" xml:space="preserve"> SUMIF( Time!$J337:$BQ337, Time!X$28, 'Working Capital'!$J45:$BQ45)</f>
        <v>13824000</v>
      </c>
      <c r="Y10" s="10">
        <f ca="1" xml:space="preserve"> SUMIF( Time!$J337:$BQ337, Time!Y$28, 'Working Capital'!$J45:$BQ45)</f>
        <v>16416000</v>
      </c>
      <c r="Z10" s="10">
        <f ca="1" xml:space="preserve"> SUMIF( Time!$J337:$BQ337, Time!Z$28, 'Working Capital'!$J45:$BQ45)</f>
        <v>19872000</v>
      </c>
      <c r="AA10" s="10">
        <f ca="1" xml:space="preserve"> SUMIF( Time!$J337:$BQ337, Time!AA$28, 'Working Capital'!$J45:$BQ45)</f>
        <v>23328000</v>
      </c>
      <c r="AB10" s="10">
        <f ca="1" xml:space="preserve"> SUMIF( Time!$J337:$BQ337, Time!AB$28, 'Working Capital'!$J45:$BQ45)</f>
        <v>27648000</v>
      </c>
      <c r="AC10" s="10">
        <f ca="1" xml:space="preserve"> SUMIF( Time!$J337:$BQ337, Time!AC$28, 'Working Capital'!$J45:$BQ45)</f>
        <v>32832000</v>
      </c>
    </row>
    <row r="11" spans="1:2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Time!$J337:$BQ337, Time!J$28, Financials!$J13:$BQ13)</f>
        <v>193176.66666666663</v>
      </c>
      <c r="K11" s="10">
        <f ca="1" xml:space="preserve"> SUMIF( Time!$J337:$BQ337, Time!K$28, Financials!$J13:$BQ13)</f>
        <v>1332026.2822021695</v>
      </c>
      <c r="L11" s="10">
        <f ca="1" xml:space="preserve"> SUMIF( Time!$J337:$BQ337, Time!L$28, Financials!$J13:$BQ13)</f>
        <v>1906847.9353443733</v>
      </c>
      <c r="M11" s="10">
        <f ca="1" xml:space="preserve"> SUMIF( Time!$J337:$BQ337, Time!M$28, Financials!$J13:$BQ13)</f>
        <v>1957540.9211432522</v>
      </c>
      <c r="N11" s="10">
        <f ca="1" xml:space="preserve"> SUMIF( Time!$J337:$BQ337, Time!N$28, Financials!$J13:$BQ13)</f>
        <v>4242935.1976549812</v>
      </c>
      <c r="O11" s="10">
        <f ca="1" xml:space="preserve"> SUMIF( Time!$J337:$BQ337, Time!O$28, Financials!$J13:$BQ13)</f>
        <v>7090626.989580051</v>
      </c>
      <c r="P11" s="10">
        <f ca="1" xml:space="preserve"> SUMIF( Time!$J337:$BQ337, Time!P$28, Financials!$J13:$BQ13)</f>
        <v>8109084.5977086704</v>
      </c>
      <c r="Q11" s="10">
        <f ca="1" xml:space="preserve"> SUMIF( Time!$J337:$BQ337, Time!Q$28, Financials!$J13:$BQ13)</f>
        <v>8329011.129965825</v>
      </c>
      <c r="R11" s="10">
        <f ca="1" xml:space="preserve"> SUMIF( Time!$J337:$BQ337, Time!R$28, Financials!$J13:$BQ13)</f>
        <v>10927461.114585085</v>
      </c>
      <c r="S11" s="10">
        <f ca="1" xml:space="preserve"> SUMIF( Time!$J337:$BQ337, Time!S$28, Financials!$J13:$BQ13)</f>
        <v>12151204.616155239</v>
      </c>
      <c r="T11" s="10">
        <f ca="1" xml:space="preserve"> SUMIF( Time!$J337:$BQ337, Time!T$28, Financials!$J13:$BQ13)</f>
        <v>13482662.303804016</v>
      </c>
      <c r="U11" s="10">
        <f ca="1" xml:space="preserve"> SUMIF( Time!$J337:$BQ337, Time!U$28, Financials!$J13:$BQ13)</f>
        <v>15289313.001587993</v>
      </c>
      <c r="V11" s="10">
        <f ca="1" xml:space="preserve"> SUMIF( Time!$J337:$BQ337, Time!V$28, Financials!$J13:$BQ13)</f>
        <v>20035854.700380128</v>
      </c>
      <c r="W11" s="10">
        <f ca="1" xml:space="preserve"> SUMIF( Time!$J337:$BQ337, Time!W$28, Financials!$J13:$BQ13)</f>
        <v>24927166.384974305</v>
      </c>
      <c r="X11" s="10">
        <f ca="1" xml:space="preserve"> SUMIF( Time!$J337:$BQ337, Time!X$28, Financials!$J13:$BQ13)</f>
        <v>34263452.75993482</v>
      </c>
      <c r="Y11" s="10">
        <f ca="1" xml:space="preserve"> SUMIF( Time!$J337:$BQ337, Time!Y$28, Financials!$J13:$BQ13)</f>
        <v>45603976.907935813</v>
      </c>
      <c r="Z11" s="10">
        <f ca="1" xml:space="preserve"> SUMIF( Time!$J337:$BQ337, Time!Z$28, Financials!$J13:$BQ13)</f>
        <v>59497763.603100367</v>
      </c>
      <c r="AA11" s="10">
        <f ca="1" xml:space="preserve"> SUMIF( Time!$J337:$BQ337, Time!AA$28, Financials!$J13:$BQ13)</f>
        <v>68975317.157275334</v>
      </c>
      <c r="AB11" s="10">
        <f ca="1" xml:space="preserve"> SUMIF( Time!$J337:$BQ337, Time!AB$28, Financials!$J13:$BQ13)</f>
        <v>89496561.020795286</v>
      </c>
      <c r="AC11" s="10">
        <f ca="1" xml:space="preserve"> SUMIF( Time!$J337:$BQ337, Time!AC$28, Financials!$J13:$BQ13)</f>
        <v>114153158.88072786</v>
      </c>
    </row>
    <row r="12" spans="1:29">
      <c r="E12" s="12" t="s">
        <v>86</v>
      </c>
      <c r="F12" s="30"/>
      <c r="G12" s="12" t="s">
        <v>258</v>
      </c>
      <c r="H12" s="56"/>
      <c r="I12" s="30"/>
      <c r="J12" s="12">
        <f ca="1" xml:space="preserve"> SUMIF( Time!$J337:$BQ337, Time!J$28, 'Balance Sheet'!$J12:$BQ12)</f>
        <v>910651.66666666663</v>
      </c>
      <c r="K12" s="12">
        <f ca="1" xml:space="preserve"> SUMIF( Time!$J337:$BQ337, Time!K$28, 'Balance Sheet'!$J12:$BQ12)</f>
        <v>2936884.6155355028</v>
      </c>
      <c r="L12" s="12">
        <f ca="1" xml:space="preserve"> SUMIF( Time!$J337:$BQ337, Time!L$28, 'Balance Sheet'!$J12:$BQ12)</f>
        <v>4715522.9353443738</v>
      </c>
      <c r="M12" s="12">
        <f ca="1" xml:space="preserve"> SUMIF( Time!$J337:$BQ337, Time!M$28, 'Balance Sheet'!$J12:$BQ12)</f>
        <v>5355332.5878099194</v>
      </c>
      <c r="N12" s="12">
        <f ca="1" xml:space="preserve"> SUMIF( Time!$J337:$BQ337, Time!N$28, 'Balance Sheet'!$J12:$BQ12)</f>
        <v>7796743.5309883142</v>
      </c>
      <c r="O12" s="12">
        <f ca="1" xml:space="preserve"> SUMIF( Time!$J337:$BQ337, Time!O$28, 'Balance Sheet'!$J12:$BQ12)</f>
        <v>9615102.0522853062</v>
      </c>
      <c r="P12" s="12">
        <f ca="1" xml:space="preserve"> SUMIF( Time!$J337:$BQ337, Time!P$28, 'Balance Sheet'!$J12:$BQ12)</f>
        <v>11646926.264375336</v>
      </c>
      <c r="Q12" s="12">
        <f ca="1" xml:space="preserve"> SUMIF( Time!$J337:$BQ337, Time!Q$28, 'Balance Sheet'!$J12:$BQ12)</f>
        <v>15117302.796632491</v>
      </c>
      <c r="R12" s="12">
        <f ca="1" xml:space="preserve"> SUMIF( Time!$J337:$BQ337, Time!R$28, 'Balance Sheet'!$J12:$BQ12)</f>
        <v>20359586.114585087</v>
      </c>
      <c r="S12" s="12">
        <f ca="1" xml:space="preserve"> SUMIF( Time!$J337:$BQ337, Time!S$28, 'Balance Sheet'!$J12:$BQ12)</f>
        <v>21232863.012193829</v>
      </c>
      <c r="T12" s="12">
        <f ca="1" xml:space="preserve"> SUMIF( Time!$J337:$BQ337, Time!T$28, 'Balance Sheet'!$J12:$BQ12)</f>
        <v>24850787.303804018</v>
      </c>
      <c r="U12" s="12">
        <f ca="1" xml:space="preserve"> SUMIF( Time!$J337:$BQ337, Time!U$28, 'Balance Sheet'!$J12:$BQ12)</f>
        <v>31114646.334921326</v>
      </c>
      <c r="V12" s="12">
        <f ca="1" xml:space="preserve"> SUMIF( Time!$J337:$BQ337, Time!V$28, 'Balance Sheet'!$J12:$BQ12)</f>
        <v>41556031.489608452</v>
      </c>
      <c r="W12" s="12">
        <f ca="1" xml:space="preserve"> SUMIF( Time!$J337:$BQ337, Time!W$28, 'Balance Sheet'!$J12:$BQ12)</f>
        <v>49883610.414920151</v>
      </c>
      <c r="X12" s="12">
        <f ca="1" xml:space="preserve"> SUMIF( Time!$J337:$BQ337, Time!X$28, 'Balance Sheet'!$J12:$BQ12)</f>
        <v>64674053.402012274</v>
      </c>
      <c r="Y12" s="12">
        <f ca="1" xml:space="preserve"> SUMIF( Time!$J337:$BQ337, Time!Y$28, 'Balance Sheet'!$J12:$BQ12)</f>
        <v>82082472.514428034</v>
      </c>
      <c r="Z12" s="12">
        <f ca="1" xml:space="preserve"> SUMIF( Time!$J337:$BQ337, Time!Z$28, 'Balance Sheet'!$J12:$BQ12)</f>
        <v>103473842.19289011</v>
      </c>
      <c r="AA12" s="12">
        <f ca="1" xml:space="preserve"> SUMIF( Time!$J337:$BQ337, Time!AA$28, 'Balance Sheet'!$J12:$BQ12)</f>
        <v>121137555.4666743</v>
      </c>
      <c r="AB12" s="12">
        <f ca="1" xml:space="preserve"> SUMIF( Time!$J337:$BQ337, Time!AB$28, 'Balance Sheet'!$J12:$BQ12)</f>
        <v>151710633.625965</v>
      </c>
      <c r="AC12" s="12">
        <f ca="1" xml:space="preserve"> SUMIF( Time!$J337:$BQ337, Time!AC$28, 'Balance Sheet'!$J12:$BQ12)</f>
        <v>188209688.31956792</v>
      </c>
    </row>
    <row r="14" spans="1:2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Time!$J337:$BQ337, Time!J$28, Income!$J27:$BQ27)</f>
        <v>198000</v>
      </c>
      <c r="K14" s="10">
        <f ca="1" xml:space="preserve"> SUMIF( Time!$J337:$BQ337, Time!K$28, Income!$J27:$BQ27)</f>
        <v>564000</v>
      </c>
      <c r="L14" s="10">
        <f ca="1" xml:space="preserve"> SUMIF( Time!$J337:$BQ337, Time!L$28, Income!$J27:$BQ27)</f>
        <v>1482000</v>
      </c>
      <c r="M14" s="10">
        <f ca="1" xml:space="preserve"> SUMIF( Time!$J337:$BQ337, Time!M$28, Income!$J27:$BQ27)</f>
        <v>2052000</v>
      </c>
      <c r="N14" s="10">
        <f ca="1" xml:space="preserve"> SUMIF( Time!$J337:$BQ337, Time!N$28, Income!$J27:$BQ27)</f>
        <v>3662432.2143384423</v>
      </c>
      <c r="O14" s="10">
        <f ca="1" xml:space="preserve"> SUMIF( Time!$J337:$BQ337, Time!O$28, Income!$J27:$BQ27)</f>
        <v>3622164.2788781589</v>
      </c>
      <c r="P14" s="10">
        <f ca="1" xml:space="preserve"> SUMIF( Time!$J337:$BQ337, Time!P$28, Income!$J27:$BQ27)</f>
        <v>2992164.2788781589</v>
      </c>
      <c r="Q14" s="10">
        <f ca="1" xml:space="preserve"> SUMIF( Time!$J337:$BQ337, Time!Q$28, Income!$J27:$BQ27)</f>
        <v>3622164.2788781589</v>
      </c>
      <c r="R14" s="10">
        <f ca="1" xml:space="preserve"> SUMIF( Time!$J337:$BQ337, Time!R$28, Income!$J27:$BQ27)</f>
        <v>7204164.2788781589</v>
      </c>
      <c r="S14" s="10">
        <f ca="1" xml:space="preserve"> SUMIF( Time!$J337:$BQ337, Time!S$28, Income!$J27:$BQ27)</f>
        <v>8626164.2788781598</v>
      </c>
      <c r="T14" s="10">
        <f ca="1" xml:space="preserve"> SUMIF( Time!$J337:$BQ337, Time!T$28, Income!$J27:$BQ27)</f>
        <v>9304164.2788781598</v>
      </c>
      <c r="U14" s="10">
        <f ca="1" xml:space="preserve"> SUMIF( Time!$J337:$BQ337, Time!U$28, Income!$J27:$BQ27)</f>
        <v>11302164.27887816</v>
      </c>
      <c r="V14" s="10">
        <f ca="1" xml:space="preserve"> SUMIF( Time!$J337:$BQ337, Time!V$28, Income!$J27:$BQ27)</f>
        <v>16396915.508560121</v>
      </c>
      <c r="W14" s="10">
        <f ca="1" xml:space="preserve"> SUMIF( Time!$J337:$BQ337, Time!W$28, Income!$J27:$BQ27)</f>
        <v>21333538.70016484</v>
      </c>
      <c r="X14" s="10">
        <f ca="1" xml:space="preserve"> SUMIF( Time!$J337:$BQ337, Time!X$28, Income!$J27:$BQ27)</f>
        <v>27981048.880408961</v>
      </c>
      <c r="Y14" s="10">
        <f ca="1" xml:space="preserve"> SUMIF( Time!$J337:$BQ337, Time!Y$28, Income!$J27:$BQ27)</f>
        <v>35292871.637006193</v>
      </c>
      <c r="Z14" s="10">
        <f ca="1" xml:space="preserve"> SUMIF( Time!$J337:$BQ337, Time!Z$28, Income!$J27:$BQ27)</f>
        <v>44356261.770489156</v>
      </c>
      <c r="AA14" s="10">
        <f ca="1" xml:space="preserve"> SUMIF( Time!$J337:$BQ337, Time!AA$28, Income!$J27:$BQ27)</f>
        <v>54825395.827817626</v>
      </c>
      <c r="AB14" s="10">
        <f ca="1" xml:space="preserve"> SUMIF( Time!$J337:$BQ337, Time!AB$28, Income!$J27:$BQ27)</f>
        <v>67752703.86242491</v>
      </c>
      <c r="AC14" s="10">
        <f ca="1" xml:space="preserve"> SUMIF( Time!$J337:$BQ337, Time!AC$28, Income!$J27:$BQ27)</f>
        <v>83274637.049738422</v>
      </c>
    </row>
    <row r="15" spans="1:2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Time!$J337:$BQ337, Time!J$28, 'Working Capital'!$J36:$BQ36)</f>
        <v>315000</v>
      </c>
      <c r="K15" s="10">
        <f ca="1" xml:space="preserve"> SUMIF( Time!$J337:$BQ337, Time!K$28, 'Working Capital'!$J36:$BQ36)</f>
        <v>945000</v>
      </c>
      <c r="L15" s="10">
        <f ca="1" xml:space="preserve"> SUMIF( Time!$J337:$BQ337, Time!L$28, 'Working Capital'!$J36:$BQ36)</f>
        <v>1280999.9999999993</v>
      </c>
      <c r="M15" s="10">
        <f ca="1" xml:space="preserve"> SUMIF( Time!$J337:$BQ337, Time!M$28, 'Working Capital'!$J36:$BQ36)</f>
        <v>692999.9999999993</v>
      </c>
      <c r="N15" s="10">
        <f ca="1" xml:space="preserve"> SUMIF( Time!$J337:$BQ337, Time!N$28, 'Working Capital'!$J36:$BQ36)</f>
        <v>104999.99999999948</v>
      </c>
      <c r="O15" s="10">
        <f ca="1" xml:space="preserve"> SUMIF( Time!$J337:$BQ337, Time!O$28, 'Working Capital'!$J36:$BQ36)</f>
        <v>577499.9999999993</v>
      </c>
      <c r="P15" s="10">
        <f ca="1" xml:space="preserve"> SUMIF( Time!$J337:$BQ337, Time!P$28, 'Working Capital'!$J36:$BQ36)</f>
        <v>1364999.9999999993</v>
      </c>
      <c r="Q15" s="10">
        <f ca="1" xml:space="preserve"> SUMIF( Time!$J337:$BQ337, Time!Q$28, 'Working Capital'!$J36:$BQ36)</f>
        <v>1868999.9999999995</v>
      </c>
      <c r="R15" s="10">
        <f ca="1" xml:space="preserve"> SUMIF( Time!$J337:$BQ337, Time!R$28, 'Working Capital'!$J36:$BQ36)</f>
        <v>2236500</v>
      </c>
      <c r="S15" s="10">
        <f ca="1" xml:space="preserve"> SUMIF( Time!$J337:$BQ337, Time!S$28, 'Working Capital'!$J36:$BQ36)</f>
        <v>2772000.0000000005</v>
      </c>
      <c r="T15" s="10">
        <f ca="1" xml:space="preserve"> SUMIF( Time!$J337:$BQ337, Time!T$28, 'Working Capital'!$J36:$BQ36)</f>
        <v>3633000.0000000005</v>
      </c>
      <c r="U15" s="10">
        <f ca="1" xml:space="preserve"> SUMIF( Time!$J337:$BQ337, Time!U$28, 'Working Capital'!$J36:$BQ36)</f>
        <v>4515000</v>
      </c>
      <c r="V15" s="10">
        <f ca="1" xml:space="preserve"> SUMIF( Time!$J337:$BQ337, Time!V$28, 'Working Capital'!$J36:$BQ36)</f>
        <v>5428499.9999999991</v>
      </c>
      <c r="W15" s="10">
        <f ca="1" xml:space="preserve"> SUMIF( Time!$J337:$BQ337, Time!W$28, 'Working Capital'!$J36:$BQ36)</f>
        <v>6520499.9999999972</v>
      </c>
      <c r="X15" s="10">
        <f ca="1" xml:space="preserve"> SUMIF( Time!$J337:$BQ337, Time!X$28, 'Working Capital'!$J36:$BQ36)</f>
        <v>7643999.9999999991</v>
      </c>
      <c r="Y15" s="10">
        <f ca="1" xml:space="preserve"> SUMIF( Time!$J337:$BQ337, Time!Y$28, 'Working Capital'!$J36:$BQ36)</f>
        <v>9114000.0000000037</v>
      </c>
      <c r="Z15" s="10">
        <f ca="1" xml:space="preserve"> SUMIF( Time!$J337:$BQ337, Time!Z$28, 'Working Capital'!$J36:$BQ36)</f>
        <v>10930500.000000002</v>
      </c>
      <c r="AA15" s="10">
        <f ca="1" xml:space="preserve"> SUMIF( Time!$J337:$BQ337, Time!AA$28, 'Working Capital'!$J36:$BQ36)</f>
        <v>12957000</v>
      </c>
      <c r="AB15" s="10">
        <f ca="1" xml:space="preserve"> SUMIF( Time!$J337:$BQ337, Time!AB$28, 'Working Capital'!$J36:$BQ36)</f>
        <v>15508500</v>
      </c>
      <c r="AC15" s="10">
        <f ca="1" xml:space="preserve"> SUMIF( Time!$J337:$BQ337, Time!AC$28, 'Working Capital'!$J36:$BQ36)</f>
        <v>18438000.000000004</v>
      </c>
    </row>
    <row r="16" spans="1:2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Time!$J337:$BQ337, Time!J$28, 'Supply Chain finance'!$J15:$BQ15)</f>
        <v>280000</v>
      </c>
      <c r="K16" s="10">
        <f ca="1" xml:space="preserve"> SUMIF( Time!$J337:$BQ337, Time!K$28, 'Supply Chain finance'!$J15:$BQ15)</f>
        <v>840000</v>
      </c>
      <c r="L16" s="10">
        <f ca="1" xml:space="preserve"> SUMIF( Time!$J337:$BQ337, Time!L$28, 'Supply Chain finance'!$J15:$BQ15)</f>
        <v>1120000</v>
      </c>
      <c r="M16" s="10">
        <f ca="1" xml:space="preserve"> SUMIF( Time!$J337:$BQ337, Time!M$28, 'Supply Chain finance'!$J15:$BQ15)</f>
        <v>560000</v>
      </c>
      <c r="N16" s="10">
        <f ca="1" xml:space="preserve"> SUMIF( Time!$J337:$BQ337, Time!N$28, 'Supply Chain finance'!$J15:$BQ15)</f>
        <v>0</v>
      </c>
      <c r="O16" s="10">
        <f ca="1" xml:space="preserve"> SUMIF( Time!$J337:$BQ337, Time!O$28, 'Supply Chain finance'!$J15:$BQ15)</f>
        <v>420000</v>
      </c>
      <c r="P16" s="10">
        <f ca="1" xml:space="preserve"> SUMIF( Time!$J337:$BQ337, Time!P$28, 'Supply Chain finance'!$J15:$BQ15)</f>
        <v>1120000</v>
      </c>
      <c r="Q16" s="10">
        <f ca="1" xml:space="preserve"> SUMIF( Time!$J337:$BQ337, Time!Q$28, 'Supply Chain finance'!$J15:$BQ15)</f>
        <v>1540000</v>
      </c>
      <c r="R16" s="10">
        <f ca="1" xml:space="preserve"> SUMIF( Time!$J337:$BQ337, Time!R$28, 'Supply Chain finance'!$J15:$BQ15)</f>
        <v>1540000</v>
      </c>
      <c r="S16" s="10">
        <f ca="1" xml:space="preserve"> SUMIF( Time!$J337:$BQ337, Time!S$28, 'Supply Chain finance'!$J15:$BQ15)</f>
        <v>700000</v>
      </c>
      <c r="T16" s="10">
        <f ca="1" xml:space="preserve"> SUMIF( Time!$J337:$BQ337, Time!T$28, 'Supply Chain finance'!$J15:$BQ15)</f>
        <v>0</v>
      </c>
      <c r="U16" s="10">
        <f ca="1" xml:space="preserve"> SUMIF( Time!$J337:$BQ337, Time!U$28, 'Supply Chain finance'!$J15:$BQ15)</f>
        <v>0</v>
      </c>
      <c r="V16" s="10">
        <f ca="1" xml:space="preserve"> SUMIF( Time!$J337:$BQ337, Time!V$28, 'Supply Chain finance'!$J15:$BQ15)</f>
        <v>0</v>
      </c>
      <c r="W16" s="10">
        <f ca="1" xml:space="preserve"> SUMIF( Time!$J337:$BQ337, Time!W$28, 'Supply Chain finance'!$J15:$BQ15)</f>
        <v>0</v>
      </c>
      <c r="X16" s="10">
        <f ca="1" xml:space="preserve"> SUMIF( Time!$J337:$BQ337, Time!X$28, 'Supply Chain finance'!$J15:$BQ15)</f>
        <v>0</v>
      </c>
      <c r="Y16" s="10">
        <f ca="1" xml:space="preserve"> SUMIF( Time!$J337:$BQ337, Time!Y$28, 'Supply Chain finance'!$J15:$BQ15)</f>
        <v>0</v>
      </c>
      <c r="Z16" s="10">
        <f ca="1" xml:space="preserve"> SUMIF( Time!$J337:$BQ337, Time!Z$28, 'Supply Chain finance'!$J15:$BQ15)</f>
        <v>0</v>
      </c>
      <c r="AA16" s="10">
        <f ca="1" xml:space="preserve"> SUMIF( Time!$J337:$BQ337, Time!AA$28, 'Supply Chain finance'!$J15:$BQ15)</f>
        <v>0</v>
      </c>
      <c r="AB16" s="10">
        <f ca="1" xml:space="preserve"> SUMIF( Time!$J337:$BQ337, Time!AB$28, 'Supply Chain finance'!$J15:$BQ15)</f>
        <v>0</v>
      </c>
      <c r="AC16" s="10">
        <f ca="1" xml:space="preserve"> SUMIF( Time!$J337:$BQ337, Time!AC$28,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Time!$J337:$BQ337, Time!J$28, 'Invoice finance'!$J15:$BQ15)</f>
        <v>64800</v>
      </c>
      <c r="K17" s="10">
        <f ca="1" xml:space="preserve"> SUMIF( Time!$J337:$BQ337, Time!K$28, 'Invoice finance'!$J15:$BQ15)</f>
        <v>140400</v>
      </c>
      <c r="L17" s="10">
        <f ca="1" xml:space="preserve"> SUMIF( Time!$J337:$BQ337, Time!L$28, 'Invoice finance'!$J15:$BQ15)</f>
        <v>345600</v>
      </c>
      <c r="M17" s="10">
        <f ca="1" xml:space="preserve"> SUMIF( Time!$J337:$BQ337, Time!M$28, 'Invoice finance'!$J15:$BQ15)</f>
        <v>594000</v>
      </c>
      <c r="N17" s="10">
        <f ca="1" xml:space="preserve"> SUMIF( Time!$J337:$BQ337, Time!N$28, 'Invoice finance'!$J15:$BQ15)</f>
        <v>996811.00709540187</v>
      </c>
      <c r="O17" s="10">
        <f ca="1" xml:space="preserve"> SUMIF( Time!$J337:$BQ337, Time!O$28, 'Invoice finance'!$J15:$BQ15)</f>
        <v>1242000</v>
      </c>
      <c r="P17" s="10">
        <f ca="1" xml:space="preserve"> SUMIF( Time!$J337:$BQ337, Time!P$28, 'Invoice finance'!$J15:$BQ15)</f>
        <v>1242000</v>
      </c>
      <c r="Q17" s="10">
        <f ca="1" xml:space="preserve"> SUMIF( Time!$J337:$BQ337, Time!Q$28, 'Invoice finance'!$J15:$BQ15)</f>
        <v>1404000</v>
      </c>
      <c r="R17" s="10">
        <f ca="1" xml:space="preserve"> SUMIF( Time!$J337:$BQ337, Time!R$28, 'Invoice finance'!$J15:$BQ15)</f>
        <v>869400</v>
      </c>
      <c r="S17" s="10">
        <f ca="1" xml:space="preserve"> SUMIF( Time!$J337:$BQ337, Time!S$28, 'Invoice finance'!$J15:$BQ15)</f>
        <v>0</v>
      </c>
      <c r="T17" s="10">
        <f ca="1" xml:space="preserve"> SUMIF( Time!$J337:$BQ337, Time!T$28, 'Invoice finance'!$J15:$BQ15)</f>
        <v>0</v>
      </c>
      <c r="U17" s="10">
        <f ca="1" xml:space="preserve"> SUMIF( Time!$J337:$BQ337, Time!U$28, 'Invoice finance'!$J15:$BQ15)</f>
        <v>0</v>
      </c>
      <c r="V17" s="10">
        <f ca="1" xml:space="preserve"> SUMIF( Time!$J337:$BQ337, Time!V$28, 'Invoice finance'!$J15:$BQ15)</f>
        <v>0</v>
      </c>
      <c r="W17" s="10">
        <f ca="1" xml:space="preserve"> SUMIF( Time!$J337:$BQ337, Time!W$28, 'Invoice finance'!$J15:$BQ15)</f>
        <v>0</v>
      </c>
      <c r="X17" s="10">
        <f ca="1" xml:space="preserve"> SUMIF( Time!$J337:$BQ337, Time!X$28, 'Invoice finance'!$J15:$BQ15)</f>
        <v>0</v>
      </c>
      <c r="Y17" s="10">
        <f ca="1" xml:space="preserve"> SUMIF( Time!$J337:$BQ337, Time!Y$28, 'Invoice finance'!$J15:$BQ15)</f>
        <v>0</v>
      </c>
      <c r="Z17" s="10">
        <f ca="1" xml:space="preserve"> SUMIF( Time!$J337:$BQ337, Time!Z$28, 'Invoice finance'!$J15:$BQ15)</f>
        <v>0</v>
      </c>
      <c r="AA17" s="10">
        <f ca="1" xml:space="preserve"> SUMIF( Time!$J337:$BQ337, Time!AA$28, 'Invoice finance'!$J15:$BQ15)</f>
        <v>0</v>
      </c>
      <c r="AB17" s="10">
        <f ca="1" xml:space="preserve"> SUMIF( Time!$J337:$BQ337, Time!AB$28, 'Invoice finance'!$J15:$BQ15)</f>
        <v>0</v>
      </c>
      <c r="AC17" s="10">
        <f ca="1" xml:space="preserve"> SUMIF( Time!$J337:$BQ337, Time!AC$28,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Time!$J337:$BQ337, Time!J$28, 'Asset Finance'!$J15:$BQ15)</f>
        <v>167708.33333333334</v>
      </c>
      <c r="K18" s="10">
        <f ca="1" xml:space="preserve"> SUMIF( Time!$J337:$BQ337, Time!K$28, 'Asset Finance'!$J15:$BQ15)</f>
        <v>497606.14089023921</v>
      </c>
      <c r="L18" s="10">
        <f ca="1" xml:space="preserve"> SUMIF( Time!$J337:$BQ337, Time!L$28, 'Asset Finance'!$J15:$BQ15)</f>
        <v>437961.07611483947</v>
      </c>
      <c r="M18" s="10">
        <f ca="1" xml:space="preserve"> SUMIF( Time!$J337:$BQ337, Time!M$28, 'Asset Finance'!$J15:$BQ15)</f>
        <v>1056906.2798820352</v>
      </c>
      <c r="N18" s="10">
        <f ca="1" xml:space="preserve"> SUMIF( Time!$J337:$BQ337, Time!N$28, 'Asset Finance'!$J15:$BQ15)</f>
        <v>1601662.2328793926</v>
      </c>
      <c r="O18" s="10">
        <f ca="1" xml:space="preserve"> SUMIF( Time!$J337:$BQ337, Time!O$28, 'Asset Finance'!$J15:$BQ15)</f>
        <v>1409680.5835824341</v>
      </c>
      <c r="P18" s="10">
        <f ca="1" xml:space="preserve"> SUMIF( Time!$J337:$BQ337, Time!P$28, 'Asset Finance'!$J15:$BQ15)</f>
        <v>1240710.6235856102</v>
      </c>
      <c r="Q18" s="10">
        <f ca="1" xml:space="preserve"> SUMIF( Time!$J337:$BQ337, Time!Q$28, 'Asset Finance'!$J15:$BQ15)</f>
        <v>1595422.8991005584</v>
      </c>
      <c r="R18" s="10">
        <f ca="1" xml:space="preserve"> SUMIF( Time!$J337:$BQ337, Time!R$28, 'Asset Finance'!$J15:$BQ15)</f>
        <v>1404189.1213365518</v>
      </c>
      <c r="S18" s="10">
        <f ca="1" xml:space="preserve"> SUMIF( Time!$J337:$BQ337, Time!S$28, 'Asset Finance'!$J15:$BQ15)</f>
        <v>1235877.3899957917</v>
      </c>
      <c r="T18" s="10">
        <f ca="1" xml:space="preserve"> SUMIF( Time!$J337:$BQ337, Time!T$28, 'Asset Finance'!$J15:$BQ15)</f>
        <v>1087740.1767996817</v>
      </c>
      <c r="U18" s="10">
        <f ca="1" xml:space="preserve"> SUMIF( Time!$J337:$BQ337, Time!U$28, 'Asset Finance'!$J15:$BQ15)</f>
        <v>957359.28321193054</v>
      </c>
      <c r="V18" s="10">
        <f ca="1" xml:space="preserve"> SUMIF( Time!$J337:$BQ337, Time!V$28, 'Asset Finance'!$J15:$BQ15)</f>
        <v>842606.36565679673</v>
      </c>
      <c r="W18" s="10">
        <f ca="1" xml:space="preserve"> SUMIF( Time!$J337:$BQ337, Time!W$28, 'Asset Finance'!$J15:$BQ15)</f>
        <v>741608.19234275515</v>
      </c>
      <c r="X18" s="10">
        <f ca="1" xml:space="preserve"> SUMIF( Time!$J337:$BQ337, Time!X$28, 'Asset Finance'!$J15:$BQ15)</f>
        <v>652716.06454241194</v>
      </c>
      <c r="Y18" s="10">
        <f ca="1" xml:space="preserve"> SUMIF( Time!$J337:$BQ337, Time!Y$28, 'Asset Finance'!$J15:$BQ15)</f>
        <v>574478.90316026658</v>
      </c>
      <c r="Z18" s="10">
        <f ca="1" xml:space="preserve"> SUMIF( Time!$J337:$BQ337, Time!Z$28, 'Asset Finance'!$J15:$BQ15)</f>
        <v>505619.56125223986</v>
      </c>
      <c r="AA18" s="10">
        <f ca="1" xml:space="preserve"> SUMIF( Time!$J337:$BQ337, Time!AA$28, 'Asset Finance'!$J15:$BQ15)</f>
        <v>445013.97582147003</v>
      </c>
      <c r="AB18" s="10">
        <f ca="1" xml:space="preserve"> SUMIF( Time!$J337:$BQ337, Time!AB$28, 'Asset Finance'!$J15:$BQ15)</f>
        <v>391672.81856335542</v>
      </c>
      <c r="AC18" s="10">
        <f ca="1" xml:space="preserve"> SUMIF( Time!$J337:$BQ337, Time!AC$28,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Time!$J337:$BQ337, Time!J$28, VAT!$J32:$BQ32)</f>
        <v>-47140</v>
      </c>
      <c r="K19" s="10">
        <f ca="1" xml:space="preserve"> SUMIF( Time!$J337:$BQ337, Time!K$28, VAT!$J32:$BQ32)</f>
        <v>48670.585766757809</v>
      </c>
      <c r="L19" s="10">
        <f ca="1" xml:space="preserve"> SUMIF( Time!$J337:$BQ337, Time!L$28, VAT!$J32:$BQ32)</f>
        <v>4478.5112058631785</v>
      </c>
      <c r="M19" s="10">
        <f ca="1" xml:space="preserve"> SUMIF( Time!$J337:$BQ337, Time!M$28, VAT!$J32:$BQ32)</f>
        <v>-12036.288366619498</v>
      </c>
      <c r="N19" s="10">
        <f ca="1" xml:space="preserve"> SUMIF( Time!$J337:$BQ337, Time!N$28, VAT!$J32:$BQ32)</f>
        <v>93125.02318424196</v>
      </c>
      <c r="O19" s="10">
        <f ca="1" xml:space="preserve"> SUMIF( Time!$J337:$BQ337, Time!O$28, VAT!$J32:$BQ32)</f>
        <v>7346.8122114281286</v>
      </c>
      <c r="P19" s="10">
        <f ca="1" xml:space="preserve"> SUMIF( Time!$J337:$BQ337, Time!P$28, VAT!$J32:$BQ32)</f>
        <v>34097.118137038851</v>
      </c>
      <c r="Q19" s="10">
        <f ca="1" xml:space="preserve"> SUMIF( Time!$J337:$BQ337, Time!Q$28, VAT!$J32:$BQ32)</f>
        <v>54279.507330168621</v>
      </c>
      <c r="R19" s="10">
        <f ca="1" xml:space="preserve"> SUMIF( Time!$J337:$BQ337, Time!R$28, VAT!$J32:$BQ32)</f>
        <v>271971.25842839864</v>
      </c>
      <c r="S19" s="10">
        <f ca="1" xml:space="preserve"> SUMIF( Time!$J337:$BQ337, Time!S$28, VAT!$J32:$BQ32)</f>
        <v>153169.57069925894</v>
      </c>
      <c r="T19" s="10">
        <f ca="1" xml:space="preserve"> SUMIF( Time!$J337:$BQ337, Time!T$28, VAT!$J32:$BQ32)</f>
        <v>255588.93542960618</v>
      </c>
      <c r="U19" s="10">
        <f ca="1" xml:space="preserve"> SUMIF( Time!$J337:$BQ337, Time!U$28, VAT!$J32:$BQ32)</f>
        <v>359867.61621458433</v>
      </c>
      <c r="V19" s="10">
        <f ca="1" xml:space="preserve"> SUMIF( Time!$J337:$BQ337, Time!V$28, VAT!$J32:$BQ32)</f>
        <v>606054.88223736337</v>
      </c>
      <c r="W19" s="10">
        <f ca="1" xml:space="preserve"> SUMIF( Time!$J337:$BQ337, Time!W$28, VAT!$J32:$BQ32)</f>
        <v>562971.11581539409</v>
      </c>
      <c r="X19" s="10">
        <f ca="1" xml:space="preserve"> SUMIF( Time!$J337:$BQ337, Time!X$28, VAT!$J32:$BQ32)</f>
        <v>806381.84405402374</v>
      </c>
      <c r="Y19" s="10">
        <f ca="1" xml:space="preserve"> SUMIF( Time!$J337:$BQ337, Time!Y$28, VAT!$J32:$BQ32)</f>
        <v>1013002.4822518174</v>
      </c>
      <c r="Z19" s="10">
        <f ca="1" xml:space="preserve"> SUMIF( Time!$J337:$BQ337, Time!Z$28, VAT!$J32:$BQ32)</f>
        <v>1217500.7520646723</v>
      </c>
      <c r="AA19" s="10">
        <f ca="1" xml:space="preserve"> SUMIF( Time!$J337:$BQ337, Time!AA$28, VAT!$J32:$BQ32)</f>
        <v>1275464.1841888004</v>
      </c>
      <c r="AB19" s="10">
        <f ca="1" xml:space="preserve"> SUMIF( Time!$J337:$BQ337, Time!AB$28, VAT!$J32:$BQ32)</f>
        <v>1583419.7872073874</v>
      </c>
      <c r="AC19" s="10">
        <f ca="1" xml:space="preserve"> SUMIF( Time!$J337:$BQ337, Time!AC$28,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Time!$J337:$BQ337, Time!J$28, 'Corporation tax'!$J78:$BQ78)</f>
        <v>0</v>
      </c>
      <c r="K20" s="10">
        <f ca="1" xml:space="preserve"> SUMIF( Time!$J337:$BQ337, Time!K$28, 'Corporation tax'!$J78:$BQ78)</f>
        <v>0</v>
      </c>
      <c r="L20" s="10">
        <f ca="1" xml:space="preserve"> SUMIF( Time!$J337:$BQ337, Time!L$28, 'Corporation tax'!$J78:$BQ78)</f>
        <v>23454.58183572589</v>
      </c>
      <c r="M20" s="10">
        <f ca="1" xml:space="preserve"> SUMIF( Time!$J337:$BQ337, Time!M$28, 'Corporation tax'!$J78:$BQ78)</f>
        <v>125236.85163600883</v>
      </c>
      <c r="N20" s="10">
        <f ca="1" xml:space="preserve"> SUMIF( Time!$J337:$BQ337, Time!N$28, 'Corporation tax'!$J78:$BQ78)</f>
        <v>358506.10425785242</v>
      </c>
      <c r="O20" s="10">
        <f ca="1" xml:space="preserve"> SUMIF( Time!$J337:$BQ337, Time!O$28, 'Corporation tax'!$J78:$BQ78)</f>
        <v>323099.25393843593</v>
      </c>
      <c r="P20" s="10">
        <f ca="1" xml:space="preserve"> SUMIF( Time!$J337:$BQ337, Time!P$28, 'Corporation tax'!$J78:$BQ78)</f>
        <v>637283.3992239167</v>
      </c>
      <c r="Q20" s="10">
        <f ca="1" xml:space="preserve"> SUMIF( Time!$J337:$BQ337, Time!Q$28, 'Corporation tax'!$J78:$BQ78)</f>
        <v>973718.97991725383</v>
      </c>
      <c r="R20" s="10">
        <f ca="1" xml:space="preserve"> SUMIF( Time!$J337:$BQ337, Time!R$28, 'Corporation tax'!$J78:$BQ78)</f>
        <v>1415781.5297293758</v>
      </c>
      <c r="S20" s="10">
        <f ca="1" xml:space="preserve"> SUMIF( Time!$J337:$BQ337, Time!S$28, 'Corporation tax'!$J78:$BQ78)</f>
        <v>556531.01135117433</v>
      </c>
      <c r="T20" s="10">
        <f ca="1" xml:space="preserve"> SUMIF( Time!$J337:$BQ337, Time!T$28, 'Corporation tax'!$J78:$BQ78)</f>
        <v>1223651.4968553074</v>
      </c>
      <c r="U20" s="10">
        <f ca="1" xml:space="preserve"> SUMIF( Time!$J337:$BQ337, Time!U$28, 'Corporation tax'!$J78:$BQ78)</f>
        <v>2026774.2675674651</v>
      </c>
      <c r="V20" s="10">
        <f ca="1" xml:space="preserve"> SUMIF( Time!$J337:$BQ337, Time!V$28, 'Corporation tax'!$J78:$BQ78)</f>
        <v>3038017.585057735</v>
      </c>
      <c r="W20" s="10">
        <f ca="1" xml:space="preserve"> SUMIF( Time!$J337:$BQ337, Time!W$28, 'Corporation tax'!$J78:$BQ78)</f>
        <v>1284989.545102691</v>
      </c>
      <c r="X20" s="10">
        <f ca="1" xml:space="preserve"> SUMIF( Time!$J337:$BQ337, Time!X$28, 'Corporation tax'!$J78:$BQ78)</f>
        <v>2893385.6120479233</v>
      </c>
      <c r="Y20" s="10">
        <f ca="1" xml:space="preserve"> SUMIF( Time!$J337:$BQ337, Time!Y$28, 'Corporation tax'!$J78:$BQ78)</f>
        <v>4880352.7841297751</v>
      </c>
      <c r="Z20" s="10">
        <f ca="1" xml:space="preserve"> SUMIF( Time!$J337:$BQ337, Time!Z$28, 'Corporation tax'!$J78:$BQ78)</f>
        <v>7304407.809826185</v>
      </c>
      <c r="AA20" s="10">
        <f ca="1" xml:space="preserve"> SUMIF( Time!$J337:$BQ337, Time!AA$28, 'Corporation tax'!$J78:$BQ78)</f>
        <v>2915933.2707296517</v>
      </c>
      <c r="AB20" s="10">
        <f ca="1" xml:space="preserve"> SUMIF( Time!$J337:$BQ337, Time!AB$28, 'Corporation tax'!$J78:$BQ78)</f>
        <v>6384204.4643923491</v>
      </c>
      <c r="AC20" s="10">
        <f ca="1" xml:space="preserve"> SUMIF( Time!$J337:$BQ337, Time!AC$28, 'Corporation tax'!$J78:$BQ78)</f>
        <v>10501253.115687136</v>
      </c>
    </row>
    <row r="21" spans="5:16384">
      <c r="E21" s="12" t="s">
        <v>226</v>
      </c>
      <c r="F21" s="30"/>
      <c r="G21" s="12" t="s">
        <v>258</v>
      </c>
      <c r="H21" s="56"/>
      <c r="I21" s="30"/>
      <c r="J21" s="12">
        <f ca="1" xml:space="preserve"> SUMIF( Time!$J337:$BQ337, Time!J$28, 'Balance Sheet'!$J21:$BQ21)</f>
        <v>978368.33333333337</v>
      </c>
      <c r="K21" s="12">
        <f ca="1" xml:space="preserve"> SUMIF( Time!$J337:$BQ337, Time!K$28, 'Balance Sheet'!$J21:$BQ21)</f>
        <v>3035676.7266569971</v>
      </c>
      <c r="L21" s="12">
        <f ca="1" xml:space="preserve"> SUMIF( Time!$J337:$BQ337, Time!L$28, 'Balance Sheet'!$J21:$BQ21)</f>
        <v>4694494.1691564284</v>
      </c>
      <c r="M21" s="12">
        <f ca="1" xml:space="preserve"> SUMIF( Time!$J337:$BQ337, Time!M$28, 'Balance Sheet'!$J21:$BQ21)</f>
        <v>5069106.8431514241</v>
      </c>
      <c r="N21" s="12">
        <f ca="1" xml:space="preserve"> SUMIF( Time!$J337:$BQ337, Time!N$28, 'Balance Sheet'!$J21:$BQ21)</f>
        <v>6817536.5817553308</v>
      </c>
      <c r="O21" s="12">
        <f ca="1" xml:space="preserve"> SUMIF( Time!$J337:$BQ337, Time!O$28, 'Balance Sheet'!$J21:$BQ21)</f>
        <v>7601790.9286104552</v>
      </c>
      <c r="P21" s="12">
        <f ca="1" xml:space="preserve"> SUMIF( Time!$J337:$BQ337, Time!P$28, 'Balance Sheet'!$J21:$BQ21)</f>
        <v>8631255.4198247232</v>
      </c>
      <c r="Q21" s="12">
        <f ca="1" xml:space="preserve"> SUMIF( Time!$J337:$BQ337, Time!Q$28, 'Balance Sheet'!$J21:$BQ21)</f>
        <v>11058585.665226139</v>
      </c>
      <c r="R21" s="12">
        <f ca="1" xml:space="preserve"> SUMIF( Time!$J337:$BQ337, Time!R$28, 'Balance Sheet'!$J21:$BQ21)</f>
        <v>14942006.188372485</v>
      </c>
      <c r="S21" s="12">
        <f ca="1" xml:space="preserve"> SUMIF( Time!$J337:$BQ337, Time!S$28, 'Balance Sheet'!$J21:$BQ21)</f>
        <v>14043742.250924384</v>
      </c>
      <c r="T21" s="12">
        <f ca="1" xml:space="preserve"> SUMIF( Time!$J337:$BQ337, Time!T$28, 'Balance Sheet'!$J21:$BQ21)</f>
        <v>15504144.887962755</v>
      </c>
      <c r="U21" s="12">
        <f ca="1" xml:space="preserve"> SUMIF( Time!$J337:$BQ337, Time!U$28, 'Balance Sheet'!$J21:$BQ21)</f>
        <v>19161165.445872135</v>
      </c>
      <c r="V21" s="12">
        <f ca="1" xml:space="preserve"> SUMIF( Time!$J337:$BQ337, Time!V$28, 'Balance Sheet'!$J21:$BQ21)</f>
        <v>26312094.341512017</v>
      </c>
      <c r="W21" s="12">
        <f ca="1" xml:space="preserve"> SUMIF( Time!$J337:$BQ337, Time!W$28, 'Balance Sheet'!$J21:$BQ21)</f>
        <v>30443607.553425673</v>
      </c>
      <c r="X21" s="12">
        <f ca="1" xml:space="preserve"> SUMIF( Time!$J337:$BQ337, Time!X$28, 'Balance Sheet'!$J21:$BQ21)</f>
        <v>39977532.401053317</v>
      </c>
      <c r="Y21" s="12">
        <f ca="1" xml:space="preserve"> SUMIF( Time!$J337:$BQ337, Time!Y$28, 'Balance Sheet'!$J21:$BQ21)</f>
        <v>50874705.806548052</v>
      </c>
      <c r="Z21" s="12">
        <f ca="1" xml:space="preserve"> SUMIF( Time!$J337:$BQ337, Time!Z$28, 'Balance Sheet'!$J21:$BQ21)</f>
        <v>64314289.893632255</v>
      </c>
      <c r="AA21" s="12">
        <f ca="1" xml:space="preserve"> SUMIF( Time!$J337:$BQ337, Time!AA$28, 'Balance Sheet'!$J21:$BQ21)</f>
        <v>72418807.258557528</v>
      </c>
      <c r="AB21" s="12">
        <f ca="1" xml:space="preserve"> SUMIF( Time!$J337:$BQ337, Time!AB$28, 'Balance Sheet'!$J21:$BQ21)</f>
        <v>91620500.932587996</v>
      </c>
      <c r="AC21" s="12">
        <f ca="1" xml:space="preserve"> SUMIF( Time!$J337:$BQ337, Time!AC$28,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Time!$J337:$BQ337, Time!J$28, Financials!$J24:$BQ24)</f>
        <v>-67716.666666666744</v>
      </c>
      <c r="K23" s="19">
        <f ca="1" xml:space="preserve"> SUMIF( Time!$J337:$BQ337, Time!K$28, Financials!$J24:$BQ24)</f>
        <v>-98792.111121494323</v>
      </c>
      <c r="L23" s="19">
        <f ca="1" xml:space="preserve"> SUMIF( Time!$J337:$BQ337, Time!L$28, Financials!$J24:$BQ24)</f>
        <v>21028.766187945381</v>
      </c>
      <c r="M23" s="19">
        <f ca="1" xml:space="preserve"> SUMIF( Time!$J337:$BQ337, Time!M$28, Financials!$J24:$BQ24)</f>
        <v>286225.7446584953</v>
      </c>
      <c r="N23" s="19">
        <f ca="1" xml:space="preserve"> SUMIF( Time!$J337:$BQ337, Time!N$28, Financials!$J24:$BQ24)</f>
        <v>979206.9492329834</v>
      </c>
      <c r="O23" s="19">
        <f ca="1" xml:space="preserve"> SUMIF( Time!$J337:$BQ337, Time!O$28, Financials!$J24:$BQ24)</f>
        <v>2013311.1236748509</v>
      </c>
      <c r="P23" s="19">
        <f ca="1" xml:space="preserve"> SUMIF( Time!$J337:$BQ337, Time!P$28, Financials!$J24:$BQ24)</f>
        <v>3015670.8445506133</v>
      </c>
      <c r="Q23" s="19">
        <f ca="1" xml:space="preserve"> SUMIF( Time!$J337:$BQ337, Time!Q$28, Financials!$J24:$BQ24)</f>
        <v>4058717.1314063519</v>
      </c>
      <c r="R23" s="19">
        <f ca="1" xml:space="preserve"> SUMIF( Time!$J337:$BQ337, Time!R$28, Financials!$J24:$BQ24)</f>
        <v>5417579.9262126014</v>
      </c>
      <c r="S23" s="19">
        <f ca="1" xml:space="preserve"> SUMIF( Time!$J337:$BQ337, Time!S$28, Financials!$J24:$BQ24)</f>
        <v>7189120.7612694446</v>
      </c>
      <c r="T23" s="19">
        <f ca="1" xml:space="preserve"> SUMIF( Time!$J337:$BQ337, Time!T$28, Financials!$J24:$BQ24)</f>
        <v>9346642.4158412628</v>
      </c>
      <c r="U23" s="19">
        <f ca="1" xml:space="preserve"> SUMIF( Time!$J337:$BQ337, Time!U$28, Financials!$J24:$BQ24)</f>
        <v>11953480.889049191</v>
      </c>
      <c r="V23" s="19">
        <f ca="1" xml:space="preserve"> SUMIF( Time!$J337:$BQ337, Time!V$28, Financials!$J24:$BQ24)</f>
        <v>15243937.148096435</v>
      </c>
      <c r="W23" s="19">
        <f ca="1" xml:space="preserve"> SUMIF( Time!$J337:$BQ337, Time!W$28, Financials!$J24:$BQ24)</f>
        <v>19440002.861494478</v>
      </c>
      <c r="X23" s="19">
        <f ca="1" xml:space="preserve"> SUMIF( Time!$J337:$BQ337, Time!X$28, Financials!$J24:$BQ24)</f>
        <v>24696521.000958957</v>
      </c>
      <c r="Y23" s="19">
        <f ca="1" xml:space="preserve"> SUMIF( Time!$J337:$BQ337, Time!Y$28, Financials!$J24:$BQ24)</f>
        <v>31207766.707879983</v>
      </c>
      <c r="Z23" s="19">
        <f ca="1" xml:space="preserve"> SUMIF( Time!$J337:$BQ337, Time!Z$28, Financials!$J24:$BQ24)</f>
        <v>39159552.299257852</v>
      </c>
      <c r="AA23" s="19">
        <f ca="1" xml:space="preserve"> SUMIF( Time!$J337:$BQ337, Time!AA$28, Financials!$J24:$BQ24)</f>
        <v>48718748.20811677</v>
      </c>
      <c r="AB23" s="19">
        <f ca="1" xml:space="preserve"> SUMIF( Time!$J337:$BQ337, Time!AB$28, Financials!$J24:$BQ24)</f>
        <v>60090132.693377003</v>
      </c>
      <c r="AC23" s="19">
        <f ca="1" xml:space="preserve"> SUMIF( Time!$J337:$BQ337, Time!AC$28, Financials!$J24:$BQ24)</f>
        <v>73584272.536620468</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Time!$J337:$BQ337, Time!J$28, Financials!$J38:$BQ38)</f>
        <v>-67716.666666666672</v>
      </c>
      <c r="K25" s="10">
        <f ca="1" xml:space="preserve"> SUMIF( Time!$J337:$BQ337, Time!K$28, Financials!$J38:$BQ38)</f>
        <v>-98792.111121494177</v>
      </c>
      <c r="L25" s="10">
        <f ca="1" xml:space="preserve"> SUMIF( Time!$J337:$BQ337, Time!L$28, Financials!$J38:$BQ38)</f>
        <v>21028.766187944522</v>
      </c>
      <c r="M25" s="10">
        <f ca="1" xml:space="preserve"> SUMIF( Time!$J337:$BQ337, Time!M$28, Financials!$J38:$BQ38)</f>
        <v>286225.74465849414</v>
      </c>
      <c r="N25" s="10">
        <f ca="1" xml:space="preserve"> SUMIF( Time!$J337:$BQ337, Time!N$28, Financials!$J38:$BQ38)</f>
        <v>979206.94923298375</v>
      </c>
      <c r="O25" s="10">
        <f ca="1" xml:space="preserve"> SUMIF( Time!$J337:$BQ337, Time!O$28, Financials!$J38:$BQ38)</f>
        <v>2013311.1236748483</v>
      </c>
      <c r="P25" s="10">
        <f ca="1" xml:space="preserve"> SUMIF( Time!$J337:$BQ337, Time!P$28, Financials!$J38:$BQ38)</f>
        <v>3015670.8445506133</v>
      </c>
      <c r="Q25" s="10">
        <f ca="1" xml:space="preserve"> SUMIF( Time!$J337:$BQ337, Time!Q$28, Financials!$J38:$BQ38)</f>
        <v>4058717.1314063538</v>
      </c>
      <c r="R25" s="10">
        <f ca="1" xml:space="preserve"> SUMIF( Time!$J337:$BQ337, Time!R$28, Financials!$J38:$BQ38)</f>
        <v>5417579.9262126014</v>
      </c>
      <c r="S25" s="10">
        <f ca="1" xml:space="preserve"> SUMIF( Time!$J337:$BQ337, Time!S$28, Financials!$J38:$BQ38)</f>
        <v>7189120.7612694446</v>
      </c>
      <c r="T25" s="10">
        <f ca="1" xml:space="preserve"> SUMIF( Time!$J337:$BQ337, Time!T$28, Financials!$J38:$BQ38)</f>
        <v>9346642.4158412665</v>
      </c>
      <c r="U25" s="10">
        <f ca="1" xml:space="preserve"> SUMIF( Time!$J337:$BQ337, Time!U$28, Financials!$J38:$BQ38)</f>
        <v>11953480.889049191</v>
      </c>
      <c r="V25" s="10">
        <f ca="1" xml:space="preserve"> SUMIF( Time!$J337:$BQ337, Time!V$28, Financials!$J38:$BQ38)</f>
        <v>15243937.148096446</v>
      </c>
      <c r="W25" s="10">
        <f ca="1" xml:space="preserve"> SUMIF( Time!$J337:$BQ337, Time!W$28, Financials!$J38:$BQ38)</f>
        <v>19440002.861494482</v>
      </c>
      <c r="X25" s="10">
        <f ca="1" xml:space="preserve"> SUMIF( Time!$J337:$BQ337, Time!X$28, Financials!$J38:$BQ38)</f>
        <v>24696521.000958964</v>
      </c>
      <c r="Y25" s="10">
        <f ca="1" xml:space="preserve"> SUMIF( Time!$J337:$BQ337, Time!Y$28, Financials!$J38:$BQ38)</f>
        <v>31207766.70787999</v>
      </c>
      <c r="Z25" s="10">
        <f ca="1" xml:space="preserve"> SUMIF( Time!$J337:$BQ337, Time!Z$28, Financials!$J38:$BQ38)</f>
        <v>39159552.29925786</v>
      </c>
      <c r="AA25" s="10">
        <f ca="1" xml:space="preserve"> SUMIF( Time!$J337:$BQ337, Time!AA$28, Financials!$J38:$BQ38)</f>
        <v>48718748.208116777</v>
      </c>
      <c r="AB25" s="10">
        <f ca="1" xml:space="preserve"> SUMIF( Time!$J337:$BQ337, Time!AB$28, Financials!$J38:$BQ38)</f>
        <v>60090132.693377018</v>
      </c>
      <c r="AC25" s="10">
        <f ca="1" xml:space="preserve"> SUMIF( Time!$J337:$BQ337, Time!AC$28,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Time!$J337:$BQ337, Time!J$28, Equity!$J13:$BQ13)</f>
        <v>0</v>
      </c>
      <c r="K26" s="10">
        <f xml:space="preserve"> SUMIF( Time!$J337:$BQ337, Time!K$28, Equity!$J13:$BQ13)</f>
        <v>0</v>
      </c>
      <c r="L26" s="10">
        <f xml:space="preserve"> SUMIF( Time!$J337:$BQ337, Time!L$28, Equity!$J13:$BQ13)</f>
        <v>0</v>
      </c>
      <c r="M26" s="10">
        <f xml:space="preserve"> SUMIF( Time!$J337:$BQ337, Time!M$28, Equity!$J13:$BQ13)</f>
        <v>0</v>
      </c>
      <c r="N26" s="10">
        <f xml:space="preserve"> SUMIF( Time!$J337:$BQ337, Time!N$28, Equity!$J13:$BQ13)</f>
        <v>0</v>
      </c>
      <c r="O26" s="10">
        <f xml:space="preserve"> SUMIF( Time!$J337:$BQ337, Time!O$28, Equity!$J13:$BQ13)</f>
        <v>0</v>
      </c>
      <c r="P26" s="10">
        <f xml:space="preserve"> SUMIF( Time!$J337:$BQ337, Time!P$28, Equity!$J13:$BQ13)</f>
        <v>0</v>
      </c>
      <c r="Q26" s="10">
        <f xml:space="preserve"> SUMIF( Time!$J337:$BQ337, Time!Q$28, Equity!$J13:$BQ13)</f>
        <v>0</v>
      </c>
      <c r="R26" s="10">
        <f xml:space="preserve"> SUMIF( Time!$J337:$BQ337, Time!R$28, Equity!$J13:$BQ13)</f>
        <v>0</v>
      </c>
      <c r="S26" s="10">
        <f xml:space="preserve"> SUMIF( Time!$J337:$BQ337, Time!S$28, Equity!$J13:$BQ13)</f>
        <v>0</v>
      </c>
      <c r="T26" s="10">
        <f xml:space="preserve"> SUMIF( Time!$J337:$BQ337, Time!T$28, Equity!$J13:$BQ13)</f>
        <v>0</v>
      </c>
      <c r="U26" s="10">
        <f xml:space="preserve"> SUMIF( Time!$J337:$BQ337, Time!U$28, Equity!$J13:$BQ13)</f>
        <v>0</v>
      </c>
      <c r="V26" s="10">
        <f xml:space="preserve"> SUMIF( Time!$J337:$BQ337, Time!V$28, Equity!$J13:$BQ13)</f>
        <v>0</v>
      </c>
      <c r="W26" s="10">
        <f xml:space="preserve"> SUMIF( Time!$J337:$BQ337, Time!W$28, Equity!$J13:$BQ13)</f>
        <v>0</v>
      </c>
      <c r="X26" s="10">
        <f xml:space="preserve"> SUMIF( Time!$J337:$BQ337, Time!X$28, Equity!$J13:$BQ13)</f>
        <v>0</v>
      </c>
      <c r="Y26" s="10">
        <f xml:space="preserve"> SUMIF( Time!$J337:$BQ337, Time!Y$28, Equity!$J13:$BQ13)</f>
        <v>0</v>
      </c>
      <c r="Z26" s="10">
        <f xml:space="preserve"> SUMIF( Time!$J337:$BQ337, Time!Z$28, Equity!$J13:$BQ13)</f>
        <v>0</v>
      </c>
      <c r="AA26" s="10">
        <f xml:space="preserve"> SUMIF( Time!$J337:$BQ337, Time!AA$28, Equity!$J13:$BQ13)</f>
        <v>0</v>
      </c>
      <c r="AB26" s="10">
        <f xml:space="preserve"> SUMIF( Time!$J337:$BQ337, Time!AB$28, Equity!$J13:$BQ13)</f>
        <v>0</v>
      </c>
      <c r="AC26" s="10">
        <f xml:space="preserve"> SUMIF( Time!$J337:$BQ337, Time!AC$28,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Time!$J337:$BQ337, Time!J$28, Financials!$J30:$BQ30)</f>
        <v>-67716.666666666672</v>
      </c>
      <c r="K27" s="19">
        <f ca="1" xml:space="preserve"> SUMIF( Time!$J337:$BQ337, Time!K$28, Financials!$J30:$BQ30)</f>
        <v>-98792.111121494177</v>
      </c>
      <c r="L27" s="19">
        <f ca="1" xml:space="preserve"> SUMIF( Time!$J337:$BQ337, Time!L$28, Financials!$J30:$BQ30)</f>
        <v>21028.766187944522</v>
      </c>
      <c r="M27" s="19">
        <f ca="1" xml:space="preserve"> SUMIF( Time!$J337:$BQ337, Time!M$28, Financials!$J30:$BQ30)</f>
        <v>286225.74465849414</v>
      </c>
      <c r="N27" s="19">
        <f ca="1" xml:space="preserve"> SUMIF( Time!$J337:$BQ337, Time!N$28, Financials!$J30:$BQ30)</f>
        <v>979206.94923298375</v>
      </c>
      <c r="O27" s="19">
        <f ca="1" xml:space="preserve"> SUMIF( Time!$J337:$BQ337, Time!O$28, Financials!$J30:$BQ30)</f>
        <v>2013311.1236748483</v>
      </c>
      <c r="P27" s="19">
        <f ca="1" xml:space="preserve"> SUMIF( Time!$J337:$BQ337, Time!P$28, Financials!$J30:$BQ30)</f>
        <v>3015670.8445506133</v>
      </c>
      <c r="Q27" s="19">
        <f ca="1" xml:space="preserve"> SUMIF( Time!$J337:$BQ337, Time!Q$28, Financials!$J30:$BQ30)</f>
        <v>4058717.1314063538</v>
      </c>
      <c r="R27" s="19">
        <f ca="1" xml:space="preserve"> SUMIF( Time!$J337:$BQ337, Time!R$28, Financials!$J30:$BQ30)</f>
        <v>5417579.9262126014</v>
      </c>
      <c r="S27" s="19">
        <f ca="1" xml:space="preserve"> SUMIF( Time!$J337:$BQ337, Time!S$28, Financials!$J30:$BQ30)</f>
        <v>7189120.7612694446</v>
      </c>
      <c r="T27" s="19">
        <f ca="1" xml:space="preserve"> SUMIF( Time!$J337:$BQ337, Time!T$28, Financials!$J30:$BQ30)</f>
        <v>9346642.4158412665</v>
      </c>
      <c r="U27" s="19">
        <f ca="1" xml:space="preserve"> SUMIF( Time!$J337:$BQ337, Time!U$28, Financials!$J30:$BQ30)</f>
        <v>11953480.889049191</v>
      </c>
      <c r="V27" s="19">
        <f ca="1" xml:space="preserve"> SUMIF( Time!$J337:$BQ337, Time!V$28, Financials!$J30:$BQ30)</f>
        <v>15243937.148096446</v>
      </c>
      <c r="W27" s="19">
        <f ca="1" xml:space="preserve"> SUMIF( Time!$J337:$BQ337, Time!W$28, Financials!$J30:$BQ30)</f>
        <v>19440002.861494482</v>
      </c>
      <c r="X27" s="19">
        <f ca="1" xml:space="preserve"> SUMIF( Time!$J337:$BQ337, Time!X$28, Financials!$J30:$BQ30)</f>
        <v>24696521.000958964</v>
      </c>
      <c r="Y27" s="19">
        <f ca="1" xml:space="preserve"> SUMIF( Time!$J337:$BQ337, Time!Y$28, Financials!$J30:$BQ30)</f>
        <v>31207766.70787999</v>
      </c>
      <c r="Z27" s="19">
        <f ca="1" xml:space="preserve"> SUMIF( Time!$J337:$BQ337, Time!Z$28, Financials!$J30:$BQ30)</f>
        <v>39159552.29925786</v>
      </c>
      <c r="AA27" s="19">
        <f ca="1" xml:space="preserve"> SUMIF( Time!$J337:$BQ337, Time!AA$28, Financials!$J30:$BQ30)</f>
        <v>48718748.208116777</v>
      </c>
      <c r="AB27" s="19">
        <f ca="1" xml:space="preserve"> SUMIF( Time!$J337:$BQ337, Time!AB$28, Financials!$J30:$BQ30)</f>
        <v>60090132.693377018</v>
      </c>
      <c r="AC27" s="19">
        <f ca="1" xml:space="preserve"> SUMIF( Time!$J337:$BQ337, Time!AC$28, Financials!$J30:$BQ30)</f>
        <v>73584272.536620528</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3">
    <cfRule type="cellIs" dxfId="106" priority="8" stopIfTrue="1" operator="notEqual">
      <formula>0</formula>
    </cfRule>
    <cfRule type="cellIs" dxfId="105" priority="9" stopIfTrue="1" operator="equal">
      <formula>""</formula>
    </cfRule>
  </conditionalFormatting>
  <conditionalFormatting sqref="J3:AC3">
    <cfRule type="cellIs" dxfId="104" priority="6" stopIfTrue="1" operator="equal">
      <formula>"Construction"</formula>
    </cfRule>
    <cfRule type="cellIs" dxfId="103" priority="7" stopIfTrue="1" operator="equal">
      <formula>"Operations"</formula>
    </cfRule>
  </conditionalFormatting>
  <conditionalFormatting sqref="J3:AC3">
    <cfRule type="cellIs" dxfId="102" priority="5" operator="equal">
      <formula>"Fin Close"</formula>
    </cfRule>
  </conditionalFormatting>
  <conditionalFormatting sqref="J3:AC3">
    <cfRule type="cellIs" dxfId="101" priority="3" operator="equal">
      <formula>"PPA ext."</formula>
    </cfRule>
    <cfRule type="cellIs" dxfId="100" priority="4" operator="equal">
      <formula>"Delay"</formula>
    </cfRule>
  </conditionalFormatting>
  <conditionalFormatting sqref="F2">
    <cfRule type="cellIs" dxfId="99" priority="1" stopIfTrue="1" operator="notEqual">
      <formula>0</formula>
    </cfRule>
    <cfRule type="cellIs" dxfId="98"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109375" defaultRowHeight="13"/>
  <cols>
    <col min="1" max="2" width="1.44140625" style="23" customWidth="1"/>
    <col min="3" max="3" width="1.44140625" style="48" customWidth="1"/>
    <col min="4" max="4" width="1.44140625" style="74" customWidth="1"/>
    <col min="5" max="5" width="31.77734375" bestFit="1" customWidth="1"/>
    <col min="6" max="6" width="20.5546875" bestFit="1" customWidth="1"/>
    <col min="7" max="7" width="13.21875" bestFit="1" customWidth="1"/>
    <col min="8" max="8" width="7.6640625" style="45" bestFit="1" customWidth="1"/>
    <col min="9" max="9" width="3.44140625" customWidth="1"/>
    <col min="10" max="12" width="11.77734375" bestFit="1" customWidth="1"/>
    <col min="13" max="17" width="13.21875" bestFit="1" customWidth="1"/>
    <col min="18" max="19" width="14.44140625" bestFit="1" customWidth="1"/>
  </cols>
  <sheetData>
    <row r="1" spans="1:19" s="73" customFormat="1" ht="25">
      <c r="A1" s="46" t="str">
        <f ca="1" xml:space="preserve"> RIGHT(CELL("filename", A1), LEN(CELL("filename", A1)) - SEARCH("]", CELL("filename", A1)))</f>
        <v>Balance Sheet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Assets!E$23</f>
        <v>Inventory</v>
      </c>
      <c r="F8" s="17">
        <f xml:space="preserve"> Assets!F$23</f>
        <v>0</v>
      </c>
      <c r="G8" s="17" t="str">
        <f xml:space="preserve"> Assets!G$23</f>
        <v>GBP</v>
      </c>
      <c r="H8" s="44">
        <f xml:space="preserve"> Assets!H$23</f>
        <v>0</v>
      </c>
      <c r="I8" s="17">
        <f xml:space="preserve"> Assets!I$23</f>
        <v>0</v>
      </c>
      <c r="J8" s="10">
        <f ca="1" xml:space="preserve"> SUMIF( Time!$J352:$BQ352, Time!J$28, Assets!$J23:$BQ23)</f>
        <v>1050000</v>
      </c>
      <c r="K8" s="10">
        <f ca="1" xml:space="preserve"> SUMIF( Time!$J352:$BQ352, Time!K$28, Assets!$J23:$BQ23)</f>
        <v>1750000</v>
      </c>
      <c r="L8" s="10">
        <f ca="1" xml:space="preserve"> SUMIF( Time!$J352:$BQ352, Time!L$28, Assets!$J23:$BQ23)</f>
        <v>2275000</v>
      </c>
      <c r="M8" s="10">
        <f ca="1" xml:space="preserve"> SUMIF( Time!$J352:$BQ352, Time!M$28, Assets!$J23:$BQ23)</f>
        <v>4200000</v>
      </c>
      <c r="N8" s="10">
        <f ca="1" xml:space="preserve"> SUMIF( Time!$J352:$BQ352, Time!N$28, Assets!$J23:$BQ23)</f>
        <v>6650000</v>
      </c>
      <c r="O8" s="10">
        <f ca="1" xml:space="preserve"> SUMIF( Time!$J352:$BQ352, Time!O$28, Assets!$J23:$BQ23)</f>
        <v>10220000</v>
      </c>
      <c r="P8" s="10">
        <f ca="1" xml:space="preserve"> SUMIF( Time!$J352:$BQ352, Time!P$28, Assets!$J23:$BQ23)</f>
        <v>15403481.323280858</v>
      </c>
      <c r="Q8" s="10">
        <f ca="1" xml:space="preserve"> SUMIF( Time!$J352:$BQ352, Time!Q$28, Assets!$J23:$BQ23)</f>
        <v>22501998.094606489</v>
      </c>
      <c r="R8" s="10">
        <f ca="1" xml:space="preserve"> SUMIF( Time!$J352:$BQ352, Time!R$28, Assets!$J23:$BQ23)</f>
        <v>32203960.741168205</v>
      </c>
      <c r="S8" s="10">
        <f ca="1" xml:space="preserve"> SUMIF( Time!$J352:$BQ352, Time!S$28, Assets!$J23:$BQ23)</f>
        <v>45518994.283819467</v>
      </c>
    </row>
    <row r="9" spans="1:19">
      <c r="E9" s="17" t="str">
        <f xml:space="preserve"> Assets!E$32</f>
        <v xml:space="preserve">Depreciation </v>
      </c>
      <c r="F9" s="17">
        <f xml:space="preserve"> Assets!F$32</f>
        <v>0</v>
      </c>
      <c r="G9" s="17" t="str">
        <f xml:space="preserve"> Assets!G$32</f>
        <v>GBP</v>
      </c>
      <c r="H9" s="44">
        <f xml:space="preserve"> Assets!H$32</f>
        <v>0</v>
      </c>
      <c r="I9" s="17">
        <f xml:space="preserve"> Assets!I$32</f>
        <v>0</v>
      </c>
      <c r="J9" s="10">
        <f ca="1" xml:space="preserve"> SUMIF( Time!$J352:$BQ352, Time!J$28, Assets!$J32:$BQ32)</f>
        <v>36458.333333333336</v>
      </c>
      <c r="K9" s="10">
        <f ca="1" xml:space="preserve"> SUMIF( Time!$J352:$BQ352, Time!K$28, Assets!$J32:$BQ32)</f>
        <v>-80208.333333333343</v>
      </c>
      <c r="L9" s="10">
        <f ca="1" xml:space="preserve"> SUMIF( Time!$J352:$BQ352, Time!L$28, Assets!$J32:$BQ32)</f>
        <v>-466666.66666666669</v>
      </c>
      <c r="M9" s="10">
        <f ca="1" xml:space="preserve"> SUMIF( Time!$J352:$BQ352, Time!M$28, Assets!$J32:$BQ32)</f>
        <v>-867708.33333333337</v>
      </c>
      <c r="N9" s="10">
        <f ca="1" xml:space="preserve"> SUMIF( Time!$J352:$BQ352, Time!N$28, Assets!$J32:$BQ32)</f>
        <v>-1222083.3333333333</v>
      </c>
      <c r="O9" s="10">
        <f ca="1" xml:space="preserve"> SUMIF( Time!$J352:$BQ352, Time!O$28, Assets!$J32:$BQ32)</f>
        <v>-1306666.6666666665</v>
      </c>
      <c r="P9" s="10">
        <f ca="1" xml:space="preserve"> SUMIF( Time!$J352:$BQ352, Time!P$28, Assets!$J32:$BQ32)</f>
        <v>-1679037.2933350091</v>
      </c>
      <c r="Q9" s="10">
        <f ca="1" xml:space="preserve"> SUMIF( Time!$J352:$BQ352, Time!Q$28, Assets!$J32:$BQ32)</f>
        <v>-2439502.4881142713</v>
      </c>
      <c r="R9" s="10">
        <f ca="1" xml:space="preserve"> SUMIF( Time!$J352:$BQ352, Time!R$28, Assets!$J32:$BQ32)</f>
        <v>-3369722.4317692439</v>
      </c>
      <c r="S9" s="10">
        <f ca="1" xml:space="preserve"> SUMIF( Time!$J352:$BQ352, Time!S$28, Assets!$J32:$BQ32)</f>
        <v>-4294464.8449793877</v>
      </c>
    </row>
    <row r="10" spans="1:19">
      <c r="E10" s="17" t="str">
        <f xml:space="preserve"> 'Working Capital'!E$45</f>
        <v>Debtors</v>
      </c>
      <c r="F10" s="17">
        <f xml:space="preserve"> 'Working Capital'!F$45</f>
        <v>0</v>
      </c>
      <c r="G10" s="17" t="str">
        <f xml:space="preserve"> 'Working Capital'!G$45</f>
        <v>GBP</v>
      </c>
      <c r="H10" s="44">
        <f xml:space="preserve"> 'Working Capital'!H$45</f>
        <v>0</v>
      </c>
      <c r="I10" s="17">
        <f xml:space="preserve"> 'Working Capital'!I$45</f>
        <v>0</v>
      </c>
      <c r="J10" s="10">
        <f ca="1" xml:space="preserve"> SUMIF( Time!$J352:$BQ352, Time!J$28, 'Working Capital'!$J45:$BQ45)</f>
        <v>518400</v>
      </c>
      <c r="K10" s="10">
        <f ca="1" xml:space="preserve"> SUMIF( Time!$J352:$BQ352, Time!K$28, 'Working Capital'!$J45:$BQ45)</f>
        <v>1728000</v>
      </c>
      <c r="L10" s="10">
        <f ca="1" xml:space="preserve"> SUMIF( Time!$J352:$BQ352, Time!L$28, 'Working Capital'!$J45:$BQ45)</f>
        <v>716141.72937192069</v>
      </c>
      <c r="M10" s="10">
        <f ca="1" xml:space="preserve"> SUMIF( Time!$J352:$BQ352, Time!M$28, 'Working Capital'!$J45:$BQ45)</f>
        <v>3456000.0000000005</v>
      </c>
      <c r="N10" s="10">
        <f ca="1" xml:space="preserve"> SUMIF( Time!$J352:$BQ352, Time!N$28, 'Working Capital'!$J45:$BQ45)</f>
        <v>3653741.7293719202</v>
      </c>
      <c r="O10" s="10">
        <f ca="1" xml:space="preserve"> SUMIF( Time!$J352:$BQ352, Time!O$28, 'Working Capital'!$J45:$BQ45)</f>
        <v>6912000</v>
      </c>
      <c r="P10" s="10">
        <f ca="1" xml:space="preserve"> SUMIF( Time!$J352:$BQ352, Time!P$28, 'Working Capital'!$J45:$BQ45)</f>
        <v>11232000</v>
      </c>
      <c r="Q10" s="10">
        <f ca="1" xml:space="preserve"> SUMIF( Time!$J352:$BQ352, Time!Q$28, 'Working Capital'!$J45:$BQ45)</f>
        <v>16416000</v>
      </c>
      <c r="R10" s="10">
        <f ca="1" xml:space="preserve"> SUMIF( Time!$J352:$BQ352, Time!R$28, 'Working Capital'!$J45:$BQ45)</f>
        <v>23328000</v>
      </c>
      <c r="S10" s="10">
        <f ca="1" xml:space="preserve"> SUMIF( Time!$J352:$BQ352, Time!S$28, 'Working Capital'!$J45:$BQ45)</f>
        <v>32832000</v>
      </c>
    </row>
    <row r="11" spans="1:19">
      <c r="E11" s="17" t="str">
        <f xml:space="preserve"> Financials!E$13</f>
        <v>Cash</v>
      </c>
      <c r="F11" s="17">
        <f xml:space="preserve"> Financials!F$13</f>
        <v>0</v>
      </c>
      <c r="G11" s="17" t="str">
        <f xml:space="preserve"> Financials!G$13</f>
        <v>GBP</v>
      </c>
      <c r="H11" s="44">
        <f xml:space="preserve"> Financials!H$13</f>
        <v>0</v>
      </c>
      <c r="I11" s="17">
        <f xml:space="preserve"> Financials!I$13</f>
        <v>0</v>
      </c>
      <c r="J11" s="10">
        <f ca="1" xml:space="preserve"> SUMIF( Time!$J352:$BQ352, Time!J$28, Financials!$J13:$BQ13)</f>
        <v>1332026.2822021695</v>
      </c>
      <c r="K11" s="10">
        <f ca="1" xml:space="preserve"> SUMIF( Time!$J352:$BQ352, Time!K$28, Financials!$J13:$BQ13)</f>
        <v>1957540.9211432522</v>
      </c>
      <c r="L11" s="10">
        <f ca="1" xml:space="preserve"> SUMIF( Time!$J352:$BQ352, Time!L$28, Financials!$J13:$BQ13)</f>
        <v>7090626.989580051</v>
      </c>
      <c r="M11" s="10">
        <f ca="1" xml:space="preserve"> SUMIF( Time!$J352:$BQ352, Time!M$28, Financials!$J13:$BQ13)</f>
        <v>8329011.129965825</v>
      </c>
      <c r="N11" s="10">
        <f ca="1" xml:space="preserve"> SUMIF( Time!$J352:$BQ352, Time!N$28, Financials!$J13:$BQ13)</f>
        <v>12151204.616155239</v>
      </c>
      <c r="O11" s="10">
        <f ca="1" xml:space="preserve"> SUMIF( Time!$J352:$BQ352, Time!O$28, Financials!$J13:$BQ13)</f>
        <v>15289313.001587993</v>
      </c>
      <c r="P11" s="10">
        <f ca="1" xml:space="preserve"> SUMIF( Time!$J352:$BQ352, Time!P$28, Financials!$J13:$BQ13)</f>
        <v>24927166.384974305</v>
      </c>
      <c r="Q11" s="10">
        <f ca="1" xml:space="preserve"> SUMIF( Time!$J352:$BQ352, Time!Q$28, Financials!$J13:$BQ13)</f>
        <v>45603976.907935813</v>
      </c>
      <c r="R11" s="10">
        <f ca="1" xml:space="preserve"> SUMIF( Time!$J352:$BQ352, Time!R$28, Financials!$J13:$BQ13)</f>
        <v>68975317.157275334</v>
      </c>
      <c r="S11" s="10">
        <f ca="1" xml:space="preserve"> SUMIF( Time!$J352:$BQ352, Time!S$28, Financials!$J13:$BQ13)</f>
        <v>114153158.88072786</v>
      </c>
    </row>
    <row r="12" spans="1:19">
      <c r="E12" s="12" t="s">
        <v>86</v>
      </c>
      <c r="F12" s="30"/>
      <c r="G12" s="12" t="s">
        <v>258</v>
      </c>
      <c r="H12" s="56"/>
      <c r="I12" s="30"/>
      <c r="J12" s="12">
        <f ca="1" xml:space="preserve"> SUMIF( Time!$J352:$BQ352, Time!J$28, 'Balance Sheet'!$J12:$BQ12)</f>
        <v>2936884.6155355028</v>
      </c>
      <c r="K12" s="12">
        <f ca="1" xml:space="preserve"> SUMIF( Time!$J352:$BQ352, Time!K$28, 'Balance Sheet'!$J12:$BQ12)</f>
        <v>5355332.5878099194</v>
      </c>
      <c r="L12" s="12">
        <f ca="1" xml:space="preserve"> SUMIF( Time!$J352:$BQ352, Time!L$28, 'Balance Sheet'!$J12:$BQ12)</f>
        <v>9615102.0522853062</v>
      </c>
      <c r="M12" s="12">
        <f ca="1" xml:space="preserve"> SUMIF( Time!$J352:$BQ352, Time!M$28, 'Balance Sheet'!$J12:$BQ12)</f>
        <v>15117302.796632491</v>
      </c>
      <c r="N12" s="12">
        <f ca="1" xml:space="preserve"> SUMIF( Time!$J352:$BQ352, Time!N$28, 'Balance Sheet'!$J12:$BQ12)</f>
        <v>21232863.012193829</v>
      </c>
      <c r="O12" s="12">
        <f ca="1" xml:space="preserve"> SUMIF( Time!$J352:$BQ352, Time!O$28, 'Balance Sheet'!$J12:$BQ12)</f>
        <v>31114646.334921326</v>
      </c>
      <c r="P12" s="12">
        <f ca="1" xml:space="preserve"> SUMIF( Time!$J352:$BQ352, Time!P$28, 'Balance Sheet'!$J12:$BQ12)</f>
        <v>49883610.414920151</v>
      </c>
      <c r="Q12" s="12">
        <f ca="1" xml:space="preserve"> SUMIF( Time!$J352:$BQ352, Time!Q$28, 'Balance Sheet'!$J12:$BQ12)</f>
        <v>82082472.514428034</v>
      </c>
      <c r="R12" s="12">
        <f ca="1" xml:space="preserve"> SUMIF( Time!$J352:$BQ352, Time!R$28, 'Balance Sheet'!$J12:$BQ12)</f>
        <v>121137555.4666743</v>
      </c>
      <c r="S12" s="12">
        <f ca="1" xml:space="preserve"> SUMIF( Time!$J352:$BQ352, Time!S$28, 'Balance Sheet'!$J12:$BQ12)</f>
        <v>188209688.31956792</v>
      </c>
    </row>
    <row r="14" spans="1:19">
      <c r="E14" s="17" t="str">
        <f xml:space="preserve"> Income!E$27</f>
        <v>Deferred Income</v>
      </c>
      <c r="F14" s="17">
        <f xml:space="preserve"> Income!F$27</f>
        <v>0</v>
      </c>
      <c r="G14" s="17" t="str">
        <f xml:space="preserve"> Income!G$27</f>
        <v>GBP</v>
      </c>
      <c r="H14" s="44">
        <f xml:space="preserve"> Income!H$27</f>
        <v>0</v>
      </c>
      <c r="I14" s="17">
        <f xml:space="preserve"> Income!I$27</f>
        <v>0</v>
      </c>
      <c r="J14" s="10">
        <f ca="1" xml:space="preserve"> SUMIF( Time!$J352:$BQ352, Time!J$28, Income!$J27:$BQ27)</f>
        <v>564000</v>
      </c>
      <c r="K14" s="10">
        <f ca="1" xml:space="preserve"> SUMIF( Time!$J352:$BQ352, Time!K$28, Income!$J27:$BQ27)</f>
        <v>2052000</v>
      </c>
      <c r="L14" s="10">
        <f ca="1" xml:space="preserve"> SUMIF( Time!$J352:$BQ352, Time!L$28, Income!$J27:$BQ27)</f>
        <v>3622164.2788781589</v>
      </c>
      <c r="M14" s="10">
        <f ca="1" xml:space="preserve"> SUMIF( Time!$J352:$BQ352, Time!M$28, Income!$J27:$BQ27)</f>
        <v>3622164.2788781589</v>
      </c>
      <c r="N14" s="10">
        <f ca="1" xml:space="preserve"> SUMIF( Time!$J352:$BQ352, Time!N$28, Income!$J27:$BQ27)</f>
        <v>8626164.2788781598</v>
      </c>
      <c r="O14" s="10">
        <f ca="1" xml:space="preserve"> SUMIF( Time!$J352:$BQ352, Time!O$28, Income!$J27:$BQ27)</f>
        <v>11302164.27887816</v>
      </c>
      <c r="P14" s="10">
        <f ca="1" xml:space="preserve"> SUMIF( Time!$J352:$BQ352, Time!P$28, Income!$J27:$BQ27)</f>
        <v>21333538.70016484</v>
      </c>
      <c r="Q14" s="10">
        <f ca="1" xml:space="preserve"> SUMIF( Time!$J352:$BQ352, Time!Q$28, Income!$J27:$BQ27)</f>
        <v>35292871.637006193</v>
      </c>
      <c r="R14" s="10">
        <f ca="1" xml:space="preserve"> SUMIF( Time!$J352:$BQ352, Time!R$28, Income!$J27:$BQ27)</f>
        <v>54825395.827817626</v>
      </c>
      <c r="S14" s="10">
        <f ca="1" xml:space="preserve"> SUMIF( Time!$J352:$BQ352, Time!S$28, Income!$J27:$BQ27)</f>
        <v>83274637.049738422</v>
      </c>
    </row>
    <row r="15" spans="1:19">
      <c r="E15" s="17" t="str">
        <f xml:space="preserve"> 'Working Capital'!E$36</f>
        <v>Creditors</v>
      </c>
      <c r="F15" s="17">
        <f xml:space="preserve"> 'Working Capital'!F$36</f>
        <v>0</v>
      </c>
      <c r="G15" s="17" t="str">
        <f xml:space="preserve"> 'Working Capital'!G$36</f>
        <v>GBP</v>
      </c>
      <c r="H15" s="44">
        <f xml:space="preserve"> 'Working Capital'!H$36</f>
        <v>0</v>
      </c>
      <c r="I15" s="17">
        <f xml:space="preserve"> 'Working Capital'!I$36</f>
        <v>0</v>
      </c>
      <c r="J15" s="10">
        <f ca="1" xml:space="preserve"> SUMIF( Time!$J352:$BQ352, Time!J$28, 'Working Capital'!$J36:$BQ36)</f>
        <v>945000</v>
      </c>
      <c r="K15" s="10">
        <f ca="1" xml:space="preserve"> SUMIF( Time!$J352:$BQ352, Time!K$28, 'Working Capital'!$J36:$BQ36)</f>
        <v>692999.9999999993</v>
      </c>
      <c r="L15" s="10">
        <f ca="1" xml:space="preserve"> SUMIF( Time!$J352:$BQ352, Time!L$28, 'Working Capital'!$J36:$BQ36)</f>
        <v>577499.9999999993</v>
      </c>
      <c r="M15" s="10">
        <f ca="1" xml:space="preserve"> SUMIF( Time!$J352:$BQ352, Time!M$28, 'Working Capital'!$J36:$BQ36)</f>
        <v>1868999.9999999995</v>
      </c>
      <c r="N15" s="10">
        <f ca="1" xml:space="preserve"> SUMIF( Time!$J352:$BQ352, Time!N$28, 'Working Capital'!$J36:$BQ36)</f>
        <v>2772000.0000000005</v>
      </c>
      <c r="O15" s="10">
        <f ca="1" xml:space="preserve"> SUMIF( Time!$J352:$BQ352, Time!O$28, 'Working Capital'!$J36:$BQ36)</f>
        <v>4515000</v>
      </c>
      <c r="P15" s="10">
        <f ca="1" xml:space="preserve"> SUMIF( Time!$J352:$BQ352, Time!P$28, 'Working Capital'!$J36:$BQ36)</f>
        <v>6520499.9999999972</v>
      </c>
      <c r="Q15" s="10">
        <f ca="1" xml:space="preserve"> SUMIF( Time!$J352:$BQ352, Time!Q$28, 'Working Capital'!$J36:$BQ36)</f>
        <v>9114000.0000000037</v>
      </c>
      <c r="R15" s="10">
        <f ca="1" xml:space="preserve"> SUMIF( Time!$J352:$BQ352, Time!R$28, 'Working Capital'!$J36:$BQ36)</f>
        <v>12957000</v>
      </c>
      <c r="S15" s="10">
        <f ca="1" xml:space="preserve"> SUMIF( Time!$J352:$BQ352, Time!S$28, 'Working Capital'!$J36:$BQ36)</f>
        <v>18438000.000000004</v>
      </c>
    </row>
    <row r="16" spans="1:19">
      <c r="E16" s="17" t="str">
        <f xml:space="preserve"> 'Supply Chain finance'!E$15</f>
        <v>Supply Chain Finance balance</v>
      </c>
      <c r="F16" s="17">
        <f xml:space="preserve"> 'Supply Chain finance'!F$15</f>
        <v>0</v>
      </c>
      <c r="G16" s="17" t="str">
        <f xml:space="preserve"> 'Supply Chain finance'!G$15</f>
        <v>GBP</v>
      </c>
      <c r="H16" s="44">
        <f xml:space="preserve"> 'Supply Chain finance'!H$15</f>
        <v>0</v>
      </c>
      <c r="I16" s="17">
        <f xml:space="preserve"> 'Supply Chain finance'!I$15</f>
        <v>0</v>
      </c>
      <c r="J16" s="10">
        <f ca="1" xml:space="preserve"> SUMIF( Time!$J352:$BQ352, Time!J$28, 'Supply Chain finance'!$J15:$BQ15)</f>
        <v>840000</v>
      </c>
      <c r="K16" s="10">
        <f ca="1" xml:space="preserve"> SUMIF( Time!$J352:$BQ352, Time!K$28, 'Supply Chain finance'!$J15:$BQ15)</f>
        <v>560000</v>
      </c>
      <c r="L16" s="10">
        <f ca="1" xml:space="preserve"> SUMIF( Time!$J352:$BQ352, Time!L$28, 'Supply Chain finance'!$J15:$BQ15)</f>
        <v>420000</v>
      </c>
      <c r="M16" s="10">
        <f ca="1" xml:space="preserve"> SUMIF( Time!$J352:$BQ352, Time!M$28, 'Supply Chain finance'!$J15:$BQ15)</f>
        <v>1540000</v>
      </c>
      <c r="N16" s="10">
        <f ca="1" xml:space="preserve"> SUMIF( Time!$J352:$BQ352, Time!N$28, 'Supply Chain finance'!$J15:$BQ15)</f>
        <v>700000</v>
      </c>
      <c r="O16" s="10">
        <f ca="1" xml:space="preserve"> SUMIF( Time!$J352:$BQ352, Time!O$28, 'Supply Chain finance'!$J15:$BQ15)</f>
        <v>0</v>
      </c>
      <c r="P16" s="10">
        <f ca="1" xml:space="preserve"> SUMIF( Time!$J352:$BQ352, Time!P$28, 'Supply Chain finance'!$J15:$BQ15)</f>
        <v>0</v>
      </c>
      <c r="Q16" s="10">
        <f ca="1" xml:space="preserve"> SUMIF( Time!$J352:$BQ352, Time!Q$28, 'Supply Chain finance'!$J15:$BQ15)</f>
        <v>0</v>
      </c>
      <c r="R16" s="10">
        <f ca="1" xml:space="preserve"> SUMIF( Time!$J352:$BQ352, Time!R$28, 'Supply Chain finance'!$J15:$BQ15)</f>
        <v>0</v>
      </c>
      <c r="S16" s="10">
        <f ca="1" xml:space="preserve"> SUMIF( Time!$J352:$BQ352, Time!S$28, 'Supply Chain finance'!$J15:$BQ15)</f>
        <v>0</v>
      </c>
    </row>
    <row r="17" spans="5:16384">
      <c r="E17" s="17" t="str">
        <f xml:space="preserve"> 'Invoice finance'!E$15</f>
        <v>Invoice finance balance</v>
      </c>
      <c r="F17" s="17">
        <f xml:space="preserve"> 'Invoice finance'!F$15</f>
        <v>0</v>
      </c>
      <c r="G17" s="17" t="str">
        <f xml:space="preserve"> 'Invoice finance'!G$15</f>
        <v>GBP</v>
      </c>
      <c r="H17" s="44">
        <f xml:space="preserve"> 'Invoice finance'!H$15</f>
        <v>0</v>
      </c>
      <c r="I17" s="17">
        <f xml:space="preserve"> 'Invoice finance'!I$15</f>
        <v>0</v>
      </c>
      <c r="J17" s="10">
        <f ca="1" xml:space="preserve"> SUMIF( Time!$J352:$BQ352, Time!J$28, 'Invoice finance'!$J15:$BQ15)</f>
        <v>140400</v>
      </c>
      <c r="K17" s="10">
        <f ca="1" xml:space="preserve"> SUMIF( Time!$J352:$BQ352, Time!K$28, 'Invoice finance'!$J15:$BQ15)</f>
        <v>594000</v>
      </c>
      <c r="L17" s="10">
        <f ca="1" xml:space="preserve"> SUMIF( Time!$J352:$BQ352, Time!L$28, 'Invoice finance'!$J15:$BQ15)</f>
        <v>1242000</v>
      </c>
      <c r="M17" s="10">
        <f ca="1" xml:space="preserve"> SUMIF( Time!$J352:$BQ352, Time!M$28, 'Invoice finance'!$J15:$BQ15)</f>
        <v>1404000</v>
      </c>
      <c r="N17" s="10">
        <f ca="1" xml:space="preserve"> SUMIF( Time!$J352:$BQ352, Time!N$28, 'Invoice finance'!$J15:$BQ15)</f>
        <v>0</v>
      </c>
      <c r="O17" s="10">
        <f ca="1" xml:space="preserve"> SUMIF( Time!$J352:$BQ352, Time!O$28, 'Invoice finance'!$J15:$BQ15)</f>
        <v>0</v>
      </c>
      <c r="P17" s="10">
        <f ca="1" xml:space="preserve"> SUMIF( Time!$J352:$BQ352, Time!P$28, 'Invoice finance'!$J15:$BQ15)</f>
        <v>0</v>
      </c>
      <c r="Q17" s="10">
        <f ca="1" xml:space="preserve"> SUMIF( Time!$J352:$BQ352, Time!Q$28, 'Invoice finance'!$J15:$BQ15)</f>
        <v>0</v>
      </c>
      <c r="R17" s="10">
        <f ca="1" xml:space="preserve"> SUMIF( Time!$J352:$BQ352, Time!R$28, 'Invoice finance'!$J15:$BQ15)</f>
        <v>0</v>
      </c>
      <c r="S17" s="10">
        <f ca="1" xml:space="preserve"> SUMIF( Time!$J352:$BQ352, Time!S$28, 'Invoice finance'!$J15:$BQ15)</f>
        <v>0</v>
      </c>
    </row>
    <row r="18" spans="5:16384">
      <c r="E18" s="17" t="str">
        <f xml:space="preserve"> 'Asset Finance'!E$15</f>
        <v>Asset Finance balance</v>
      </c>
      <c r="F18" s="17">
        <f xml:space="preserve"> 'Asset Finance'!F$15</f>
        <v>0</v>
      </c>
      <c r="G18" s="17" t="str">
        <f xml:space="preserve"> 'Asset Finance'!G$15</f>
        <v>GBP</v>
      </c>
      <c r="H18" s="44">
        <f xml:space="preserve"> 'Asset Finance'!H$15</f>
        <v>0</v>
      </c>
      <c r="I18" s="17">
        <f xml:space="preserve"> 'Asset Finance'!I$15</f>
        <v>0</v>
      </c>
      <c r="J18" s="10">
        <f ca="1" xml:space="preserve"> SUMIF( Time!$J352:$BQ352, Time!J$28, 'Asset Finance'!$J15:$BQ15)</f>
        <v>497606.14089023921</v>
      </c>
      <c r="K18" s="10">
        <f ca="1" xml:space="preserve"> SUMIF( Time!$J352:$BQ352, Time!K$28, 'Asset Finance'!$J15:$BQ15)</f>
        <v>1056906.2798820352</v>
      </c>
      <c r="L18" s="10">
        <f ca="1" xml:space="preserve"> SUMIF( Time!$J352:$BQ352, Time!L$28, 'Asset Finance'!$J15:$BQ15)</f>
        <v>1409680.5835824341</v>
      </c>
      <c r="M18" s="10">
        <f ca="1" xml:space="preserve"> SUMIF( Time!$J352:$BQ352, Time!M$28, 'Asset Finance'!$J15:$BQ15)</f>
        <v>1595422.8991005584</v>
      </c>
      <c r="N18" s="10">
        <f ca="1" xml:space="preserve"> SUMIF( Time!$J352:$BQ352, Time!N$28, 'Asset Finance'!$J15:$BQ15)</f>
        <v>1235877.3899957917</v>
      </c>
      <c r="O18" s="10">
        <f ca="1" xml:space="preserve"> SUMIF( Time!$J352:$BQ352, Time!O$28, 'Asset Finance'!$J15:$BQ15)</f>
        <v>957359.28321193054</v>
      </c>
      <c r="P18" s="10">
        <f ca="1" xml:space="preserve"> SUMIF( Time!$J352:$BQ352, Time!P$28, 'Asset Finance'!$J15:$BQ15)</f>
        <v>741608.19234275515</v>
      </c>
      <c r="Q18" s="10">
        <f ca="1" xml:space="preserve"> SUMIF( Time!$J352:$BQ352, Time!Q$28, 'Asset Finance'!$J15:$BQ15)</f>
        <v>574478.90316026658</v>
      </c>
      <c r="R18" s="10">
        <f ca="1" xml:space="preserve"> SUMIF( Time!$J352:$BQ352, Time!R$28, 'Asset Finance'!$J15:$BQ15)</f>
        <v>445013.97582147003</v>
      </c>
      <c r="S18" s="10">
        <f ca="1" xml:space="preserve"> SUMIF( Time!$J352:$BQ352, Time!S$28, 'Asset Finance'!$J15:$BQ15)</f>
        <v>344725.34602577734</v>
      </c>
    </row>
    <row r="19" spans="5:16384">
      <c r="E19" s="17" t="str">
        <f xml:space="preserve"> VAT!E$32</f>
        <v>VAT balance</v>
      </c>
      <c r="F19" s="17">
        <f xml:space="preserve"> VAT!F$32</f>
        <v>0</v>
      </c>
      <c r="G19" s="17" t="str">
        <f xml:space="preserve"> VAT!G$32</f>
        <v>GBP</v>
      </c>
      <c r="H19" s="44">
        <f xml:space="preserve"> VAT!H$32</f>
        <v>0</v>
      </c>
      <c r="I19" s="17">
        <f xml:space="preserve"> VAT!I$32</f>
        <v>0</v>
      </c>
      <c r="J19" s="10">
        <f ca="1" xml:space="preserve"> SUMIF( Time!$J352:$BQ352, Time!J$28, VAT!$J32:$BQ32)</f>
        <v>48670.585766757809</v>
      </c>
      <c r="K19" s="10">
        <f ca="1" xml:space="preserve"> SUMIF( Time!$J352:$BQ352, Time!K$28, VAT!$J32:$BQ32)</f>
        <v>-12036.288366619498</v>
      </c>
      <c r="L19" s="10">
        <f ca="1" xml:space="preserve"> SUMIF( Time!$J352:$BQ352, Time!L$28, VAT!$J32:$BQ32)</f>
        <v>7346.8122114281286</v>
      </c>
      <c r="M19" s="10">
        <f ca="1" xml:space="preserve"> SUMIF( Time!$J352:$BQ352, Time!M$28, VAT!$J32:$BQ32)</f>
        <v>54279.507330168621</v>
      </c>
      <c r="N19" s="10">
        <f ca="1" xml:space="preserve"> SUMIF( Time!$J352:$BQ352, Time!N$28, VAT!$J32:$BQ32)</f>
        <v>153169.57069925894</v>
      </c>
      <c r="O19" s="10">
        <f ca="1" xml:space="preserve"> SUMIF( Time!$J352:$BQ352, Time!O$28, VAT!$J32:$BQ32)</f>
        <v>359867.61621458433</v>
      </c>
      <c r="P19" s="10">
        <f ca="1" xml:space="preserve"> SUMIF( Time!$J352:$BQ352, Time!P$28, VAT!$J32:$BQ32)</f>
        <v>562971.11581539409</v>
      </c>
      <c r="Q19" s="10">
        <f ca="1" xml:space="preserve"> SUMIF( Time!$J352:$BQ352, Time!Q$28, VAT!$J32:$BQ32)</f>
        <v>1013002.4822518174</v>
      </c>
      <c r="R19" s="10">
        <f ca="1" xml:space="preserve"> SUMIF( Time!$J352:$BQ352, Time!R$28, VAT!$J32:$BQ32)</f>
        <v>1275464.1841888004</v>
      </c>
      <c r="S19" s="10">
        <f ca="1" xml:space="preserve"> SUMIF( Time!$J352:$BQ352, Time!S$28, VAT!$J32:$BQ32)</f>
        <v>2066800.2714961162</v>
      </c>
    </row>
    <row r="20" spans="5:16384">
      <c r="E20" s="17" t="str">
        <f xml:space="preserve"> 'Corporation tax'!E$78</f>
        <v>Corporation tax creditor</v>
      </c>
      <c r="F20" s="17">
        <f xml:space="preserve"> 'Corporation tax'!F$78</f>
        <v>0</v>
      </c>
      <c r="G20" s="17" t="str">
        <f xml:space="preserve"> 'Corporation tax'!G$78</f>
        <v>GBP</v>
      </c>
      <c r="H20" s="44">
        <f xml:space="preserve"> 'Corporation tax'!H$78</f>
        <v>0</v>
      </c>
      <c r="I20" s="17">
        <f xml:space="preserve"> 'Corporation tax'!I$78</f>
        <v>0</v>
      </c>
      <c r="J20" s="10">
        <f ca="1" xml:space="preserve"> SUMIF( Time!$J352:$BQ352, Time!J$28, 'Corporation tax'!$J78:$BQ78)</f>
        <v>0</v>
      </c>
      <c r="K20" s="10">
        <f ca="1" xml:space="preserve"> SUMIF( Time!$J352:$BQ352, Time!K$28, 'Corporation tax'!$J78:$BQ78)</f>
        <v>125236.85163600883</v>
      </c>
      <c r="L20" s="10">
        <f ca="1" xml:space="preserve"> SUMIF( Time!$J352:$BQ352, Time!L$28, 'Corporation tax'!$J78:$BQ78)</f>
        <v>323099.25393843593</v>
      </c>
      <c r="M20" s="10">
        <f ca="1" xml:space="preserve"> SUMIF( Time!$J352:$BQ352, Time!M$28, 'Corporation tax'!$J78:$BQ78)</f>
        <v>973718.97991725383</v>
      </c>
      <c r="N20" s="10">
        <f ca="1" xml:space="preserve"> SUMIF( Time!$J352:$BQ352, Time!N$28, 'Corporation tax'!$J78:$BQ78)</f>
        <v>556531.01135117433</v>
      </c>
      <c r="O20" s="10">
        <f ca="1" xml:space="preserve"> SUMIF( Time!$J352:$BQ352, Time!O$28, 'Corporation tax'!$J78:$BQ78)</f>
        <v>2026774.2675674651</v>
      </c>
      <c r="P20" s="10">
        <f ca="1" xml:space="preserve"> SUMIF( Time!$J352:$BQ352, Time!P$28, 'Corporation tax'!$J78:$BQ78)</f>
        <v>1284989.545102691</v>
      </c>
      <c r="Q20" s="10">
        <f ca="1" xml:space="preserve"> SUMIF( Time!$J352:$BQ352, Time!Q$28, 'Corporation tax'!$J78:$BQ78)</f>
        <v>4880352.7841297751</v>
      </c>
      <c r="R20" s="10">
        <f ca="1" xml:space="preserve"> SUMIF( Time!$J352:$BQ352, Time!R$28, 'Corporation tax'!$J78:$BQ78)</f>
        <v>2915933.2707296517</v>
      </c>
      <c r="S20" s="10">
        <f ca="1" xml:space="preserve"> SUMIF( Time!$J352:$BQ352, Time!S$28, 'Corporation tax'!$J78:$BQ78)</f>
        <v>10501253.115687136</v>
      </c>
    </row>
    <row r="21" spans="5:16384">
      <c r="E21" s="12" t="s">
        <v>226</v>
      </c>
      <c r="F21" s="30"/>
      <c r="G21" s="12" t="s">
        <v>258</v>
      </c>
      <c r="H21" s="56"/>
      <c r="I21" s="30"/>
      <c r="J21" s="12">
        <f ca="1" xml:space="preserve"> SUMIF( Time!$J352:$BQ352, Time!J$28, 'Balance Sheet'!$J21:$BQ21)</f>
        <v>3035676.7266569971</v>
      </c>
      <c r="K21" s="12">
        <f ca="1" xml:space="preserve"> SUMIF( Time!$J352:$BQ352, Time!K$28, 'Balance Sheet'!$J21:$BQ21)</f>
        <v>5069106.8431514241</v>
      </c>
      <c r="L21" s="12">
        <f ca="1" xml:space="preserve"> SUMIF( Time!$J352:$BQ352, Time!L$28, 'Balance Sheet'!$J21:$BQ21)</f>
        <v>7601790.9286104552</v>
      </c>
      <c r="M21" s="12">
        <f ca="1" xml:space="preserve"> SUMIF( Time!$J352:$BQ352, Time!M$28, 'Balance Sheet'!$J21:$BQ21)</f>
        <v>11058585.665226139</v>
      </c>
      <c r="N21" s="12">
        <f ca="1" xml:space="preserve"> SUMIF( Time!$J352:$BQ352, Time!N$28, 'Balance Sheet'!$J21:$BQ21)</f>
        <v>14043742.250924384</v>
      </c>
      <c r="O21" s="12">
        <f ca="1" xml:space="preserve"> SUMIF( Time!$J352:$BQ352, Time!O$28, 'Balance Sheet'!$J21:$BQ21)</f>
        <v>19161165.445872135</v>
      </c>
      <c r="P21" s="12">
        <f ca="1" xml:space="preserve"> SUMIF( Time!$J352:$BQ352, Time!P$28, 'Balance Sheet'!$J21:$BQ21)</f>
        <v>30443607.553425673</v>
      </c>
      <c r="Q21" s="12">
        <f ca="1" xml:space="preserve"> SUMIF( Time!$J352:$BQ352, Time!Q$28, 'Balance Sheet'!$J21:$BQ21)</f>
        <v>50874705.806548052</v>
      </c>
      <c r="R21" s="12">
        <f ca="1" xml:space="preserve"> SUMIF( Time!$J352:$BQ352, Time!R$28, 'Balance Sheet'!$J21:$BQ21)</f>
        <v>72418807.258557528</v>
      </c>
      <c r="S21" s="12">
        <f ca="1" xml:space="preserve"> SUMIF( Time!$J352:$BQ352, Time!S$28, 'Balance Sheet'!$J21:$BQ21)</f>
        <v>114625415.78294745</v>
      </c>
    </row>
    <row r="23" spans="5:16384">
      <c r="E23" s="67" t="str">
        <f xml:space="preserve"> Financials!E$24</f>
        <v>Net Assets</v>
      </c>
      <c r="F23" s="67"/>
      <c r="G23" s="67" t="str">
        <f xml:space="preserve"> Financials!G$24</f>
        <v>GBP</v>
      </c>
      <c r="H23" s="109">
        <f xml:space="preserve"> Financials!H$24</f>
        <v>0</v>
      </c>
      <c r="I23" s="67">
        <f xml:space="preserve"> Financials!I$24</f>
        <v>0</v>
      </c>
      <c r="J23" s="19">
        <f ca="1" xml:space="preserve"> SUMIF( Time!$J352:$BQ352, Time!J$28, Financials!$J24:$BQ24)</f>
        <v>-98792.111121494323</v>
      </c>
      <c r="K23" s="19">
        <f ca="1" xml:space="preserve"> SUMIF( Time!$J352:$BQ352, Time!K$28, Financials!$J24:$BQ24)</f>
        <v>286225.7446584953</v>
      </c>
      <c r="L23" s="19">
        <f ca="1" xml:space="preserve"> SUMIF( Time!$J352:$BQ352, Time!L$28, Financials!$J24:$BQ24)</f>
        <v>2013311.1236748509</v>
      </c>
      <c r="M23" s="19">
        <f ca="1" xml:space="preserve"> SUMIF( Time!$J352:$BQ352, Time!M$28, Financials!$J24:$BQ24)</f>
        <v>4058717.1314063519</v>
      </c>
      <c r="N23" s="19">
        <f ca="1" xml:space="preserve"> SUMIF( Time!$J352:$BQ352, Time!N$28, Financials!$J24:$BQ24)</f>
        <v>7189120.7612694446</v>
      </c>
      <c r="O23" s="19">
        <f ca="1" xml:space="preserve"> SUMIF( Time!$J352:$BQ352, Time!O$28, Financials!$J24:$BQ24)</f>
        <v>11953480.889049191</v>
      </c>
      <c r="P23" s="19">
        <f ca="1" xml:space="preserve"> SUMIF( Time!$J352:$BQ352, Time!P$28, Financials!$J24:$BQ24)</f>
        <v>19440002.861494478</v>
      </c>
      <c r="Q23" s="19">
        <f ca="1" xml:space="preserve"> SUMIF( Time!$J352:$BQ352, Time!Q$28, Financials!$J24:$BQ24)</f>
        <v>31207766.707879983</v>
      </c>
      <c r="R23" s="19">
        <f ca="1" xml:space="preserve"> SUMIF( Time!$J352:$BQ352, Time!R$28, Financials!$J24:$BQ24)</f>
        <v>48718748.20811677</v>
      </c>
      <c r="S23" s="19">
        <f ca="1" xml:space="preserve"> SUMIF( Time!$J352:$BQ352, Time!S$28, Financials!$J24:$BQ24)</f>
        <v>73584272.536620468</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7" t="str">
        <f xml:space="preserve"> Financials!E$38</f>
        <v>Retained Earnings</v>
      </c>
      <c r="F25" s="17">
        <f xml:space="preserve"> Financials!F$38</f>
        <v>0</v>
      </c>
      <c r="G25" s="17" t="str">
        <f xml:space="preserve"> Financials!G$38</f>
        <v>GBP</v>
      </c>
      <c r="H25" s="44">
        <f xml:space="preserve"> Financials!H$38</f>
        <v>0</v>
      </c>
      <c r="I25" s="17">
        <f xml:space="preserve"> Financials!I$38</f>
        <v>0</v>
      </c>
      <c r="J25" s="10">
        <f ca="1" xml:space="preserve"> SUMIF( Time!$J352:$BQ352, Time!J$28, Financials!$J38:$BQ38)</f>
        <v>-98792.111121494177</v>
      </c>
      <c r="K25" s="10">
        <f ca="1" xml:space="preserve"> SUMIF( Time!$J352:$BQ352, Time!K$28, Financials!$J38:$BQ38)</f>
        <v>286225.74465849414</v>
      </c>
      <c r="L25" s="10">
        <f ca="1" xml:space="preserve"> SUMIF( Time!$J352:$BQ352, Time!L$28, Financials!$J38:$BQ38)</f>
        <v>2013311.1236748483</v>
      </c>
      <c r="M25" s="10">
        <f ca="1" xml:space="preserve"> SUMIF( Time!$J352:$BQ352, Time!M$28, Financials!$J38:$BQ38)</f>
        <v>4058717.1314063538</v>
      </c>
      <c r="N25" s="10">
        <f ca="1" xml:space="preserve"> SUMIF( Time!$J352:$BQ352, Time!N$28, Financials!$J38:$BQ38)</f>
        <v>7189120.7612694446</v>
      </c>
      <c r="O25" s="10">
        <f ca="1" xml:space="preserve"> SUMIF( Time!$J352:$BQ352, Time!O$28, Financials!$J38:$BQ38)</f>
        <v>11953480.889049191</v>
      </c>
      <c r="P25" s="10">
        <f ca="1" xml:space="preserve"> SUMIF( Time!$J352:$BQ352, Time!P$28, Financials!$J38:$BQ38)</f>
        <v>19440002.861494482</v>
      </c>
      <c r="Q25" s="10">
        <f ca="1" xml:space="preserve"> SUMIF( Time!$J352:$BQ352, Time!Q$28, Financials!$J38:$BQ38)</f>
        <v>31207766.70787999</v>
      </c>
      <c r="R25" s="10">
        <f ca="1" xml:space="preserve"> SUMIF( Time!$J352:$BQ352, Time!R$28, Financials!$J38:$BQ38)</f>
        <v>48718748.208116777</v>
      </c>
      <c r="S25" s="10">
        <f ca="1" xml:space="preserve"> SUMIF( Time!$J352:$BQ352, Time!S$28, Financials!$J38:$BQ38)</f>
        <v>73584272.536620528</v>
      </c>
    </row>
    <row r="26" spans="5:16384">
      <c r="E26" s="17" t="str">
        <f xml:space="preserve"> Equity!E$13</f>
        <v>Share Capital</v>
      </c>
      <c r="F26" s="17">
        <f xml:space="preserve"> Equity!F$13</f>
        <v>0</v>
      </c>
      <c r="G26" s="17" t="str">
        <f xml:space="preserve"> Equity!G$13</f>
        <v>GBP</v>
      </c>
      <c r="H26" s="44">
        <f xml:space="preserve"> Equity!H$13</f>
        <v>0</v>
      </c>
      <c r="I26" s="17">
        <f xml:space="preserve"> Equity!I$13</f>
        <v>0</v>
      </c>
      <c r="J26" s="10">
        <f xml:space="preserve"> SUMIF( Time!$J352:$BQ352, Time!J$28, Equity!$J13:$BQ13)</f>
        <v>0</v>
      </c>
      <c r="K26" s="10">
        <f xml:space="preserve"> SUMIF( Time!$J352:$BQ352, Time!K$28, Equity!$J13:$BQ13)</f>
        <v>0</v>
      </c>
      <c r="L26" s="10">
        <f xml:space="preserve"> SUMIF( Time!$J352:$BQ352, Time!L$28, Equity!$J13:$BQ13)</f>
        <v>0</v>
      </c>
      <c r="M26" s="10">
        <f xml:space="preserve"> SUMIF( Time!$J352:$BQ352, Time!M$28, Equity!$J13:$BQ13)</f>
        <v>0</v>
      </c>
      <c r="N26" s="10">
        <f xml:space="preserve"> SUMIF( Time!$J352:$BQ352, Time!N$28, Equity!$J13:$BQ13)</f>
        <v>0</v>
      </c>
      <c r="O26" s="10">
        <f xml:space="preserve"> SUMIF( Time!$J352:$BQ352, Time!O$28, Equity!$J13:$BQ13)</f>
        <v>0</v>
      </c>
      <c r="P26" s="10">
        <f xml:space="preserve"> SUMIF( Time!$J352:$BQ352, Time!P$28, Equity!$J13:$BQ13)</f>
        <v>0</v>
      </c>
      <c r="Q26" s="10">
        <f xml:space="preserve"> SUMIF( Time!$J352:$BQ352, Time!Q$28, Equity!$J13:$BQ13)</f>
        <v>0</v>
      </c>
      <c r="R26" s="10">
        <f xml:space="preserve"> SUMIF( Time!$J352:$BQ352, Time!R$28, Equity!$J13:$BQ13)</f>
        <v>0</v>
      </c>
      <c r="S26" s="10">
        <f xml:space="preserve"> SUMIF( Time!$J352:$BQ352, Time!S$28, Equity!$J13:$BQ13)</f>
        <v>0</v>
      </c>
    </row>
    <row r="27" spans="5:16384">
      <c r="E27" s="67" t="str">
        <f xml:space="preserve"> Financials!E$30</f>
        <v>Shareholder Equity</v>
      </c>
      <c r="F27" s="67"/>
      <c r="G27" s="67" t="str">
        <f xml:space="preserve"> Financials!G$30</f>
        <v>GBP</v>
      </c>
      <c r="H27" s="109">
        <f xml:space="preserve"> Financials!H$30</f>
        <v>0</v>
      </c>
      <c r="I27" s="67">
        <f xml:space="preserve"> Financials!I$30</f>
        <v>0</v>
      </c>
      <c r="J27" s="19">
        <f ca="1" xml:space="preserve"> SUMIF( Time!$J352:$BQ352, Time!J$28, Financials!$J30:$BQ30)</f>
        <v>-98792.111121494177</v>
      </c>
      <c r="K27" s="19">
        <f ca="1" xml:space="preserve"> SUMIF( Time!$J352:$BQ352, Time!K$28, Financials!$J30:$BQ30)</f>
        <v>286225.74465849414</v>
      </c>
      <c r="L27" s="19">
        <f ca="1" xml:space="preserve"> SUMIF( Time!$J352:$BQ352, Time!L$28, Financials!$J30:$BQ30)</f>
        <v>2013311.1236748483</v>
      </c>
      <c r="M27" s="19">
        <f ca="1" xml:space="preserve"> SUMIF( Time!$J352:$BQ352, Time!M$28, Financials!$J30:$BQ30)</f>
        <v>4058717.1314063538</v>
      </c>
      <c r="N27" s="19">
        <f ca="1" xml:space="preserve"> SUMIF( Time!$J352:$BQ352, Time!N$28, Financials!$J30:$BQ30)</f>
        <v>7189120.7612694446</v>
      </c>
      <c r="O27" s="19">
        <f ca="1" xml:space="preserve"> SUMIF( Time!$J352:$BQ352, Time!O$28, Financials!$J30:$BQ30)</f>
        <v>11953480.889049191</v>
      </c>
      <c r="P27" s="19">
        <f ca="1" xml:space="preserve"> SUMIF( Time!$J352:$BQ352, Time!P$28, Financials!$J30:$BQ30)</f>
        <v>19440002.861494482</v>
      </c>
      <c r="Q27" s="19">
        <f ca="1" xml:space="preserve"> SUMIF( Time!$J352:$BQ352, Time!Q$28, Financials!$J30:$BQ30)</f>
        <v>31207766.70787999</v>
      </c>
      <c r="R27" s="19">
        <f ca="1" xml:space="preserve"> SUMIF( Time!$J352:$BQ352, Time!R$28, Financials!$J30:$BQ30)</f>
        <v>48718748.208116777</v>
      </c>
      <c r="S27" s="19">
        <f ca="1" xml:space="preserve"> SUMIF( Time!$J352:$BQ352, Time!S$28, Financials!$J30:$BQ30)</f>
        <v>73584272.536620528</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3">
    <cfRule type="cellIs" dxfId="97" priority="8" stopIfTrue="1" operator="notEqual">
      <formula>0</formula>
    </cfRule>
    <cfRule type="cellIs" dxfId="96" priority="9" stopIfTrue="1" operator="equal">
      <formula>""</formula>
    </cfRule>
  </conditionalFormatting>
  <conditionalFormatting sqref="J3:S3">
    <cfRule type="cellIs" dxfId="95" priority="6" stopIfTrue="1" operator="equal">
      <formula>"Construction"</formula>
    </cfRule>
    <cfRule type="cellIs" dxfId="94" priority="7" stopIfTrue="1" operator="equal">
      <formula>"Operations"</formula>
    </cfRule>
  </conditionalFormatting>
  <conditionalFormatting sqref="J3:S3">
    <cfRule type="cellIs" dxfId="93" priority="5" operator="equal">
      <formula>"Fin Close"</formula>
    </cfRule>
  </conditionalFormatting>
  <conditionalFormatting sqref="J3:S3">
    <cfRule type="cellIs" dxfId="92" priority="3" operator="equal">
      <formula>"PPA ext."</formula>
    </cfRule>
    <cfRule type="cellIs" dxfId="91" priority="4" operator="equal">
      <formula>"Delay"</formula>
    </cfRule>
  </conditionalFormatting>
  <conditionalFormatting sqref="F2">
    <cfRule type="cellIs" dxfId="90" priority="1" stopIfTrue="1" operator="notEqual">
      <formula>0</formula>
    </cfRule>
    <cfRule type="cellIs" dxfId="89"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777343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77734375" bestFit="1" customWidth="1"/>
    <col min="37" max="37" width="12.441406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9" width="12.44140625" bestFit="1" customWidth="1"/>
    <col min="50" max="50" width="12.21875" bestFit="1" customWidth="1"/>
    <col min="51" max="61" width="12.44140625" bestFit="1" customWidth="1"/>
    <col min="62" max="69" width="13.21875" bestFit="1" customWidth="1"/>
    <col min="70" max="70" width="15.109375" hidden="1" customWidth="1"/>
    <col min="71" max="16384" width="15.109375" hidden="1"/>
  </cols>
  <sheetData>
    <row r="1" spans="1:69" s="73" customFormat="1" ht="25">
      <c r="A1" s="46" t="str">
        <f ca="1" xml:space="preserve"> RIGHT(CELL("filename", A1), LEN(CELL("filename", A1)) - SEARCH("]", CELL("filename", A1)))</f>
        <v>Cashflow</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'Working Capital'!J$22</f>
        <v>0</v>
      </c>
      <c r="K8" s="10">
        <f ca="1" xml:space="preserve"> 'Working Capital'!K$22</f>
        <v>0</v>
      </c>
      <c r="L8" s="10">
        <f ca="1" xml:space="preserve"> 'Working Capital'!L$22</f>
        <v>0</v>
      </c>
      <c r="M8" s="10">
        <f ca="1" xml:space="preserve"> 'Working Capital'!M$22</f>
        <v>172800</v>
      </c>
      <c r="N8" s="10">
        <f ca="1" xml:space="preserve"> 'Working Capital'!N$22</f>
        <v>172800</v>
      </c>
      <c r="O8" s="10">
        <f ca="1" xml:space="preserve"> 'Working Capital'!O$22</f>
        <v>172800</v>
      </c>
      <c r="P8" s="10">
        <f ca="1" xml:space="preserve"> 'Working Capital'!P$22</f>
        <v>172800</v>
      </c>
      <c r="Q8" s="10">
        <f ca="1" xml:space="preserve"> 'Working Capital'!Q$22</f>
        <v>345600</v>
      </c>
      <c r="R8" s="10">
        <f ca="1" xml:space="preserve"> 'Working Capital'!R$22</f>
        <v>691200</v>
      </c>
      <c r="S8" s="10">
        <f ca="1" xml:space="preserve"> 'Working Capital'!S$22</f>
        <v>518400</v>
      </c>
      <c r="T8" s="10">
        <f ca="1" xml:space="preserve"> 'Working Capital'!T$22</f>
        <v>518400</v>
      </c>
      <c r="U8" s="10">
        <f ca="1" xml:space="preserve"> 'Working Capital'!U$22</f>
        <v>0</v>
      </c>
      <c r="V8" s="10">
        <f ca="1" xml:space="preserve"> 'Working Capital'!V$22</f>
        <v>1728000</v>
      </c>
      <c r="W8" s="10">
        <f ca="1" xml:space="preserve"> 'Working Capital'!W$22</f>
        <v>0</v>
      </c>
      <c r="X8" s="10">
        <f ca="1" xml:space="preserve"> 'Working Capital'!X$22</f>
        <v>1728000</v>
      </c>
      <c r="Y8" s="10">
        <f ca="1" xml:space="preserve"> 'Working Capital'!Y$22</f>
        <v>1433776.1135264309</v>
      </c>
      <c r="Z8" s="10">
        <f ca="1" xml:space="preserve"> 'Working Capital'!Z$22</f>
        <v>639823.88647356897</v>
      </c>
      <c r="AA8" s="10">
        <f ca="1" xml:space="preserve"> 'Working Capital'!AA$22</f>
        <v>1703058.2706280798</v>
      </c>
      <c r="AB8" s="10">
        <f ca="1" xml:space="preserve"> 'Working Capital'!AB$22</f>
        <v>370541.72937192023</v>
      </c>
      <c r="AC8" s="10">
        <f ca="1" xml:space="preserve"> 'Working Capital'!AC$22</f>
        <v>345600</v>
      </c>
      <c r="AD8" s="10">
        <f ca="1" xml:space="preserve"> 'Working Capital'!AD$22</f>
        <v>691200</v>
      </c>
      <c r="AE8" s="10">
        <f ca="1" xml:space="preserve"> 'Working Capital'!AE$22</f>
        <v>518400</v>
      </c>
      <c r="AF8" s="10">
        <f ca="1" xml:space="preserve"> 'Working Capital'!AF$22</f>
        <v>518400</v>
      </c>
      <c r="AG8" s="10">
        <f ca="1" xml:space="preserve"> 'Working Capital'!AG$22</f>
        <v>0</v>
      </c>
      <c r="AH8" s="10">
        <f ca="1" xml:space="preserve"> 'Working Capital'!AH$22</f>
        <v>2592000</v>
      </c>
      <c r="AI8" s="10">
        <f ca="1" xml:space="preserve"> 'Working Capital'!AI$22</f>
        <v>864000</v>
      </c>
      <c r="AJ8" s="10">
        <f ca="1" xml:space="preserve"> 'Working Capital'!AJ$22</f>
        <v>2592000</v>
      </c>
      <c r="AK8" s="10">
        <f ca="1" xml:space="preserve"> 'Working Capital'!AK$22</f>
        <v>2988976.1135264309</v>
      </c>
      <c r="AL8" s="10">
        <f ca="1" xml:space="preserve"> 'Working Capital'!AL$22</f>
        <v>2195023.8864735691</v>
      </c>
      <c r="AM8" s="10">
        <f ca="1" xml:space="preserve"> 'Working Capital'!AM$22</f>
        <v>2394258.2706280798</v>
      </c>
      <c r="AN8" s="10">
        <f ca="1" xml:space="preserve"> 'Working Capital'!AN$22</f>
        <v>1925741.7293719202</v>
      </c>
      <c r="AO8" s="10">
        <f ca="1" xml:space="preserve"> 'Working Capital'!AO$22</f>
        <v>1728000</v>
      </c>
      <c r="AP8" s="10">
        <f ca="1" xml:space="preserve"> 'Working Capital'!AP$22</f>
        <v>1728000</v>
      </c>
      <c r="AQ8" s="10">
        <f ca="1" xml:space="preserve"> 'Working Capital'!AQ$22</f>
        <v>1728000</v>
      </c>
      <c r="AR8" s="10">
        <f ca="1" xml:space="preserve"> 'Working Capital'!AR$22</f>
        <v>2592000</v>
      </c>
      <c r="AS8" s="10">
        <f ca="1" xml:space="preserve"> 'Working Capital'!AS$22</f>
        <v>1728000</v>
      </c>
      <c r="AT8" s="10">
        <f ca="1" xml:space="preserve"> 'Working Capital'!AT$22</f>
        <v>3456000</v>
      </c>
      <c r="AU8" s="10">
        <f ca="1" xml:space="preserve"> 'Working Capital'!AU$22</f>
        <v>3456000</v>
      </c>
      <c r="AV8" s="10">
        <f ca="1" xml:space="preserve"> 'Working Capital'!AV$22</f>
        <v>3456000</v>
      </c>
      <c r="AW8" s="10">
        <f ca="1" xml:space="preserve"> 'Working Capital'!AW$22</f>
        <v>5184000</v>
      </c>
      <c r="AX8" s="10">
        <f ca="1" xml:space="preserve"> 'Working Capital'!AX$22</f>
        <v>5184000</v>
      </c>
      <c r="AY8" s="10">
        <f ca="1" xml:space="preserve"> 'Working Capital'!AY$22</f>
        <v>4320000</v>
      </c>
      <c r="AZ8" s="10">
        <f ca="1" xml:space="preserve"> 'Working Capital'!AZ$22</f>
        <v>6048000</v>
      </c>
      <c r="BA8" s="10">
        <f ca="1" xml:space="preserve"> 'Working Capital'!BA$22</f>
        <v>5184000</v>
      </c>
      <c r="BB8" s="10">
        <f ca="1" xml:space="preserve"> 'Working Capital'!BB$22</f>
        <v>6048000</v>
      </c>
      <c r="BC8" s="10">
        <f ca="1" xml:space="preserve"> 'Working Capital'!BC$22</f>
        <v>6912000</v>
      </c>
      <c r="BD8" s="10">
        <f ca="1" xml:space="preserve"> 'Working Capital'!BD$22</f>
        <v>6912000</v>
      </c>
      <c r="BE8" s="10">
        <f ca="1" xml:space="preserve"> 'Working Capital'!BE$22</f>
        <v>6912000</v>
      </c>
      <c r="BF8" s="10">
        <f ca="1" xml:space="preserve"> 'Working Capital'!BF$22</f>
        <v>7776000.0000000009</v>
      </c>
      <c r="BG8" s="10">
        <f ca="1" xml:space="preserve"> 'Working Capital'!BG$22</f>
        <v>8640000</v>
      </c>
      <c r="BH8" s="10">
        <f ca="1" xml:space="preserve"> 'Working Capital'!BH$22</f>
        <v>8640000</v>
      </c>
      <c r="BI8" s="10">
        <f ca="1" xml:space="preserve"> 'Working Capital'!BI$22</f>
        <v>9504000</v>
      </c>
      <c r="BJ8" s="10">
        <f ca="1" xml:space="preserve"> 'Working Capital'!BJ$22</f>
        <v>10368000</v>
      </c>
      <c r="BK8" s="10">
        <f ca="1" xml:space="preserve"> 'Working Capital'!BK$22</f>
        <v>10368000</v>
      </c>
      <c r="BL8" s="10">
        <f ca="1" xml:space="preserve"> 'Working Capital'!BL$22</f>
        <v>12096000</v>
      </c>
      <c r="BM8" s="10">
        <f ca="1" xml:space="preserve"> 'Working Capital'!BM$22</f>
        <v>11232000</v>
      </c>
      <c r="BN8" s="10">
        <f ca="1" xml:space="preserve"> 'Working Capital'!BN$22</f>
        <v>12959999.999999998</v>
      </c>
      <c r="BO8" s="10">
        <f ca="1" xml:space="preserve"> 'Working Capital'!BO$22</f>
        <v>13824000.000000002</v>
      </c>
      <c r="BP8" s="10">
        <f ca="1" xml:space="preserve"> 'Working Capital'!BP$22</f>
        <v>13823999.999999996</v>
      </c>
      <c r="BQ8" s="10">
        <f ca="1" xml:space="preserve"> 'Working Capital'!BQ$22</f>
        <v>15552000</v>
      </c>
    </row>
    <row r="9" spans="1:6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'Working Capital'!J$52</f>
        <v>-65340</v>
      </c>
      <c r="K9" s="10">
        <f ca="1">'Working Capital'!K$52</f>
        <v>-65340</v>
      </c>
      <c r="L9" s="10">
        <f ca="1">'Working Capital'!L$52</f>
        <v>-65340</v>
      </c>
      <c r="M9" s="10">
        <f ca="1">'Working Capital'!M$52</f>
        <v>-66543.556565664127</v>
      </c>
      <c r="N9" s="10">
        <f ca="1">'Working Capital'!N$52</f>
        <v>-98223.556565664127</v>
      </c>
      <c r="O9" s="10">
        <f ca="1">'Working Capital'!O$52</f>
        <v>-98223.556565664127</v>
      </c>
      <c r="P9" s="10">
        <f ca="1">'Working Capital'!P$52</f>
        <v>-99456.37673550508</v>
      </c>
      <c r="Q9" s="10">
        <f ca="1">'Working Capital'!Q$52</f>
        <v>-131136.37673550509</v>
      </c>
      <c r="R9" s="10">
        <f ca="1">'Working Capital'!R$52</f>
        <v>-131136.37673550509</v>
      </c>
      <c r="S9" s="10">
        <f ca="1">'Working Capital'!S$52</f>
        <v>-132399.17203281465</v>
      </c>
      <c r="T9" s="10">
        <f ca="1">'Working Capital'!T$52</f>
        <v>-132399.17203281465</v>
      </c>
      <c r="U9" s="10">
        <f ca="1">'Working Capital'!U$52</f>
        <v>-132399.17203281465</v>
      </c>
      <c r="V9" s="10">
        <f ca="1">'Working Capital'!V$52</f>
        <v>-138359.47707325619</v>
      </c>
      <c r="W9" s="10">
        <f ca="1">'Working Capital'!W$52</f>
        <v>-143348.99422610237</v>
      </c>
      <c r="X9" s="10">
        <f ca="1">'Working Capital'!X$52</f>
        <v>-148635.20350821552</v>
      </c>
      <c r="Y9" s="10">
        <f ca="1">'Working Capital'!Y$52</f>
        <v>-155565.09868601535</v>
      </c>
      <c r="Z9" s="10">
        <f ca="1">'Working Capital'!Z$52</f>
        <v>-161498.6679846081</v>
      </c>
      <c r="AA9" s="10">
        <f ca="1">'Working Capital'!AA$52</f>
        <v>-167785.0656742905</v>
      </c>
      <c r="AB9" s="10">
        <f ca="1">'Working Capital'!AB$52</f>
        <v>-175799.6288050173</v>
      </c>
      <c r="AC9" s="10">
        <f ca="1">'Working Capital'!AC$52</f>
        <v>-182855.87163226554</v>
      </c>
      <c r="AD9" s="10">
        <f ca="1">'Working Capital'!AD$52</f>
        <v>-190331.70049257253</v>
      </c>
      <c r="AE9" s="10">
        <f ca="1">'Working Capital'!AE$52</f>
        <v>-199643.7763215749</v>
      </c>
      <c r="AF9" s="10">
        <f ca="1">'Working Capital'!AF$52</f>
        <v>-208035.11049692542</v>
      </c>
      <c r="AG9" s="10">
        <f ca="1">'Working Capital'!AG$52</f>
        <v>-216925.4193681452</v>
      </c>
      <c r="AH9" s="10">
        <f ca="1">'Working Capital'!AH$52</f>
        <v>-241975.16295257254</v>
      </c>
      <c r="AI9" s="10">
        <f ca="1">'Working Capital'!AI$52</f>
        <v>-251954.19725826482</v>
      </c>
      <c r="AJ9" s="10">
        <f ca="1">'Working Capital'!AJ$52</f>
        <v>-262526.61582249118</v>
      </c>
      <c r="AK9" s="10">
        <f ca="1">'Working Capital'!AK$52</f>
        <v>-275182.78833160189</v>
      </c>
      <c r="AL9" s="10">
        <f ca="1">'Working Capital'!AL$52</f>
        <v>-315561.92692878743</v>
      </c>
      <c r="AM9" s="10">
        <f ca="1">'Working Capital'!AM$52</f>
        <v>-328134.7223081523</v>
      </c>
      <c r="AN9" s="10">
        <f ca="1">'Working Capital'!AN$52</f>
        <v>-342945.56689922081</v>
      </c>
      <c r="AO9" s="10">
        <f ca="1">'Working Capital'!AO$52</f>
        <v>-385570.05255371716</v>
      </c>
      <c r="AP9" s="10">
        <f ca="1">'Working Capital'!AP$52</f>
        <v>-400521.71027433121</v>
      </c>
      <c r="AQ9" s="10">
        <f ca="1">'Working Capital'!AQ$52</f>
        <v>-417892.93554643035</v>
      </c>
      <c r="AR9" s="10">
        <f ca="1">'Working Capital'!AR$52</f>
        <v>-434675.6038971314</v>
      </c>
      <c r="AS9" s="10">
        <f ca="1">'Working Capital'!AS$52</f>
        <v>-452456.2216395709</v>
      </c>
      <c r="AT9" s="10">
        <f ca="1">'Working Capital'!AT$52</f>
        <v>-477045.23585770308</v>
      </c>
      <c r="AU9" s="10">
        <f ca="1">'Working Capital'!AU$52</f>
        <v>-501493.86990664923</v>
      </c>
      <c r="AV9" s="10">
        <f ca="1">'Working Capital'!AV$52</f>
        <v>-527396.29538900394</v>
      </c>
      <c r="AW9" s="10">
        <f ca="1">'Working Capital'!AW$52</f>
        <v>-556439.88778811868</v>
      </c>
      <c r="AX9" s="10">
        <f ca="1">'Working Capital'!AX$52</f>
        <v>-585514.37735122337</v>
      </c>
      <c r="AY9" s="10">
        <f ca="1">'Working Capital'!AY$52</f>
        <v>-616317.72603066708</v>
      </c>
      <c r="AZ9" s="10">
        <f ca="1">'Working Capital'!AZ$52</f>
        <v>-650592.56413671758</v>
      </c>
      <c r="BA9" s="10">
        <f ca="1">'Working Capital'!BA$52</f>
        <v>-685168.1539902339</v>
      </c>
      <c r="BB9" s="10">
        <f ca="1">'Working Capital'!BB$52</f>
        <v>-721799.7154057381</v>
      </c>
      <c r="BC9" s="10">
        <f ca="1">'Working Capital'!BC$52</f>
        <v>-762292.64430181507</v>
      </c>
      <c r="BD9" s="10">
        <f ca="1">'Working Capital'!BD$52</f>
        <v>-803410.18176103255</v>
      </c>
      <c r="BE9" s="10">
        <f ca="1">'Working Capital'!BE$52</f>
        <v>-846972.6952300095</v>
      </c>
      <c r="BF9" s="10">
        <f ca="1">'Working Capital'!BF$52</f>
        <v>-894789.60822599963</v>
      </c>
      <c r="BG9" s="10">
        <f ca="1">'Working Capital'!BG$52</f>
        <v>-943686.87632389215</v>
      </c>
      <c r="BH9" s="10">
        <f ca="1">'Working Capital'!BH$52</f>
        <v>-995491.72728860122</v>
      </c>
      <c r="BI9" s="10">
        <f ca="1">'Working Capital'!BI$52</f>
        <v>-1052138.2974380981</v>
      </c>
      <c r="BJ9" s="10">
        <f ca="1">'Working Capital'!BJ$52</f>
        <v>-1110287.2765643073</v>
      </c>
      <c r="BK9" s="10">
        <f ca="1">'Working Capital'!BK$52</f>
        <v>-1171893.9739231947</v>
      </c>
      <c r="BL9" s="10">
        <f ca="1">'Working Capital'!BL$52</f>
        <v>-1238968.0381806928</v>
      </c>
      <c r="BM9" s="10">
        <f ca="1">'Working Capital'!BM$52</f>
        <v>-1308119.2178877259</v>
      </c>
      <c r="BN9" s="10">
        <f ca="1">'Working Capital'!BN$52</f>
        <v>-1381382.3407187341</v>
      </c>
      <c r="BO9" s="10">
        <f ca="1">'Working Capital'!BO$52</f>
        <v>-1460836.9116863317</v>
      </c>
      <c r="BP9" s="10">
        <f ca="1">'Working Capital'!BP$52</f>
        <v>-1543071.9866047669</v>
      </c>
      <c r="BQ9" s="10">
        <f ca="1">'Working Capital'!BQ$52</f>
        <v>-1630197.0135427206</v>
      </c>
    </row>
    <row r="10" spans="1:6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VAT!J$38</f>
        <v>0</v>
      </c>
      <c r="K10" s="10">
        <f ca="1">VAT!K$38</f>
        <v>0</v>
      </c>
      <c r="L10" s="10">
        <f ca="1">VAT!L$38</f>
        <v>-16920</v>
      </c>
      <c r="M10" s="10">
        <f ca="1">VAT!M$38</f>
        <v>0</v>
      </c>
      <c r="N10" s="10">
        <f ca="1">VAT!N$38</f>
        <v>0</v>
      </c>
      <c r="O10" s="10">
        <f ca="1">VAT!O$38</f>
        <v>144518.82846648438</v>
      </c>
      <c r="P10" s="10">
        <f ca="1">VAT!P$38</f>
        <v>0</v>
      </c>
      <c r="Q10" s="10">
        <f ca="1">VAT!Q$38</f>
        <v>0</v>
      </c>
      <c r="R10" s="10">
        <f ca="1">VAT!R$38</f>
        <v>-159307.60817848417</v>
      </c>
      <c r="S10" s="10">
        <f ca="1">VAT!S$38</f>
        <v>0</v>
      </c>
      <c r="T10" s="10">
        <f ca="1">VAT!T$38</f>
        <v>0</v>
      </c>
      <c r="U10" s="10">
        <f ca="1">VAT!U$38</f>
        <v>-268405.93447262415</v>
      </c>
      <c r="V10" s="10">
        <f ca="1">VAT!V$38</f>
        <v>0</v>
      </c>
      <c r="W10" s="10">
        <f ca="1">VAT!W$38</f>
        <v>0</v>
      </c>
      <c r="X10" s="10">
        <f ca="1">VAT!X$38</f>
        <v>-489316.53619390458</v>
      </c>
      <c r="Y10" s="10">
        <f ca="1">VAT!Y$38</f>
        <v>0</v>
      </c>
      <c r="Z10" s="10">
        <f ca="1">VAT!Z$38</f>
        <v>0</v>
      </c>
      <c r="AA10" s="10">
        <f ca="1">VAT!AA$38</f>
        <v>-339901.04439600348</v>
      </c>
      <c r="AB10" s="10">
        <f ca="1">VAT!AB$38</f>
        <v>0</v>
      </c>
      <c r="AC10" s="10">
        <f ca="1">VAT!AC$38</f>
        <v>0</v>
      </c>
      <c r="AD10" s="10">
        <f ca="1">VAT!AD$38</f>
        <v>-36341.766717129693</v>
      </c>
      <c r="AE10" s="10">
        <f ca="1">VAT!AE$38</f>
        <v>0</v>
      </c>
      <c r="AF10" s="10">
        <f ca="1">VAT!AF$38</f>
        <v>0</v>
      </c>
      <c r="AG10" s="10">
        <f ca="1">VAT!AG$38</f>
        <v>-289035.40115353878</v>
      </c>
      <c r="AH10" s="10">
        <f ca="1">VAT!AH$38</f>
        <v>0</v>
      </c>
      <c r="AI10" s="10">
        <f ca="1">VAT!AI$38</f>
        <v>0</v>
      </c>
      <c r="AJ10" s="10">
        <f ca="1">VAT!AJ$38</f>
        <v>-764539.52380783099</v>
      </c>
      <c r="AK10" s="10">
        <f ca="1">VAT!AK$38</f>
        <v>0</v>
      </c>
      <c r="AL10" s="10">
        <f ca="1">VAT!AL$38</f>
        <v>0</v>
      </c>
      <c r="AM10" s="10">
        <f ca="1">VAT!AM$38</f>
        <v>-728267.19340472692</v>
      </c>
      <c r="AN10" s="10">
        <f ca="1">VAT!AN$38</f>
        <v>0</v>
      </c>
      <c r="AO10" s="10">
        <f ca="1">VAT!AO$38</f>
        <v>0</v>
      </c>
      <c r="AP10" s="10">
        <f ca="1">VAT!AP$38</f>
        <v>-382940.87802171911</v>
      </c>
      <c r="AQ10" s="10">
        <f ca="1">VAT!AQ$38</f>
        <v>0</v>
      </c>
      <c r="AR10" s="10">
        <f ca="1">VAT!AR$38</f>
        <v>0</v>
      </c>
      <c r="AS10" s="10">
        <f ca="1">VAT!AS$38</f>
        <v>-727082.70457110065</v>
      </c>
      <c r="AT10" s="10">
        <f ca="1">VAT!AT$38</f>
        <v>0</v>
      </c>
      <c r="AU10" s="10">
        <f ca="1">VAT!AU$38</f>
        <v>0</v>
      </c>
      <c r="AV10" s="10">
        <f ca="1">VAT!AV$38</f>
        <v>-1325909.5156905523</v>
      </c>
      <c r="AW10" s="10">
        <f ca="1">VAT!AW$38</f>
        <v>0</v>
      </c>
      <c r="AX10" s="10">
        <f ca="1">VAT!AX$38</f>
        <v>0</v>
      </c>
      <c r="AY10" s="10">
        <f ca="1">VAT!AY$38</f>
        <v>-1775240.8581337868</v>
      </c>
      <c r="AZ10" s="10">
        <f ca="1">VAT!AZ$38</f>
        <v>0</v>
      </c>
      <c r="BA10" s="10">
        <f ca="1">VAT!BA$38</f>
        <v>0</v>
      </c>
      <c r="BB10" s="10">
        <f ca="1">VAT!BB$38</f>
        <v>-2076538.3232583986</v>
      </c>
      <c r="BC10" s="10">
        <f ca="1">VAT!BC$38</f>
        <v>0</v>
      </c>
      <c r="BD10" s="10">
        <f ca="1">VAT!BD$38</f>
        <v>0</v>
      </c>
      <c r="BE10" s="10">
        <f ca="1">VAT!BE$38</f>
        <v>-2482045.2235028557</v>
      </c>
      <c r="BF10" s="10">
        <f ca="1">VAT!BF$38</f>
        <v>0</v>
      </c>
      <c r="BG10" s="10">
        <f ca="1">VAT!BG$38</f>
        <v>0</v>
      </c>
      <c r="BH10" s="10">
        <f ca="1">VAT!BH$38</f>
        <v>-3134868.2563836453</v>
      </c>
      <c r="BI10" s="10">
        <f ca="1">VAT!BI$38</f>
        <v>0</v>
      </c>
      <c r="BJ10" s="10">
        <f ca="1">VAT!BJ$38</f>
        <v>0</v>
      </c>
      <c r="BK10" s="10">
        <f ca="1">VAT!BK$38</f>
        <v>-3889916.6089735446</v>
      </c>
      <c r="BL10" s="10">
        <f ca="1">VAT!BL$38</f>
        <v>0</v>
      </c>
      <c r="BM10" s="10">
        <f ca="1">VAT!BM$38</f>
        <v>0</v>
      </c>
      <c r="BN10" s="10">
        <f ca="1">VAT!BN$38</f>
        <v>-4457910.7972734896</v>
      </c>
      <c r="BO10" s="10">
        <f ca="1">VAT!BO$38</f>
        <v>0</v>
      </c>
      <c r="BP10" s="10">
        <f ca="1">VAT!BP$38</f>
        <v>0</v>
      </c>
      <c r="BQ10" s="10">
        <f ca="1">VAT!BQ$38</f>
        <v>-5234337.1600900143</v>
      </c>
    </row>
    <row r="11" spans="1:6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'Corporation tax'!J$69</f>
        <v>0</v>
      </c>
      <c r="K11" s="10">
        <f ca="1">'Corporation tax'!K$69</f>
        <v>0</v>
      </c>
      <c r="L11" s="10">
        <f ca="1">'Corporation tax'!L$69</f>
        <v>0</v>
      </c>
      <c r="M11" s="10">
        <f ca="1">'Corporation tax'!M$69</f>
        <v>0</v>
      </c>
      <c r="N11" s="10">
        <f ca="1">'Corporation tax'!N$69</f>
        <v>0</v>
      </c>
      <c r="O11" s="10">
        <f ca="1">'Corporation tax'!O$69</f>
        <v>0</v>
      </c>
      <c r="P11" s="10">
        <f ca="1">'Corporation tax'!P$69</f>
        <v>0</v>
      </c>
      <c r="Q11" s="10">
        <f ca="1">'Corporation tax'!Q$69</f>
        <v>0</v>
      </c>
      <c r="R11" s="10">
        <f ca="1">'Corporation tax'!R$69</f>
        <v>0</v>
      </c>
      <c r="S11" s="10">
        <f ca="1">'Corporation tax'!S$69</f>
        <v>0</v>
      </c>
      <c r="T11" s="10">
        <f ca="1">'Corporation tax'!T$69</f>
        <v>0</v>
      </c>
      <c r="U11" s="10">
        <f ca="1">'Corporation tax'!U$69</f>
        <v>0</v>
      </c>
      <c r="V11" s="10">
        <f ca="1">'Corporation tax'!V$69</f>
        <v>0</v>
      </c>
      <c r="W11" s="10">
        <f ca="1">'Corporation tax'!W$69</f>
        <v>0</v>
      </c>
      <c r="X11" s="10">
        <f ca="1">'Corporation tax'!X$69</f>
        <v>0</v>
      </c>
      <c r="Y11" s="10">
        <f ca="1">'Corporation tax'!Y$69</f>
        <v>-358506.10425785242</v>
      </c>
      <c r="Z11" s="10">
        <f ca="1">'Corporation tax'!Z$69</f>
        <v>0</v>
      </c>
      <c r="AA11" s="10">
        <f ca="1">'Corporation tax'!AA$69</f>
        <v>0</v>
      </c>
      <c r="AB11" s="10">
        <f ca="1">'Corporation tax'!AB$69</f>
        <v>0</v>
      </c>
      <c r="AC11" s="10">
        <f ca="1">'Corporation tax'!AC$69</f>
        <v>0</v>
      </c>
      <c r="AD11" s="10">
        <f ca="1">'Corporation tax'!AD$69</f>
        <v>0</v>
      </c>
      <c r="AE11" s="10">
        <f ca="1">'Corporation tax'!AE$69</f>
        <v>0</v>
      </c>
      <c r="AF11" s="10">
        <f ca="1">'Corporation tax'!AF$69</f>
        <v>0</v>
      </c>
      <c r="AG11" s="10">
        <f ca="1">'Corporation tax'!AG$69</f>
        <v>0</v>
      </c>
      <c r="AH11" s="10">
        <f ca="1">'Corporation tax'!AH$69</f>
        <v>0</v>
      </c>
      <c r="AI11" s="10">
        <f ca="1">'Corporation tax'!AI$69</f>
        <v>0</v>
      </c>
      <c r="AJ11" s="10">
        <f ca="1">'Corporation tax'!AJ$69</f>
        <v>0</v>
      </c>
      <c r="AK11" s="10">
        <f ca="1">'Corporation tax'!AK$69</f>
        <v>-1415781.5297293758</v>
      </c>
      <c r="AL11" s="10">
        <f ca="1">'Corporation tax'!AL$69</f>
        <v>0</v>
      </c>
      <c r="AM11" s="10">
        <f ca="1">'Corporation tax'!AM$69</f>
        <v>0</v>
      </c>
      <c r="AN11" s="10">
        <f ca="1">'Corporation tax'!AN$69</f>
        <v>0</v>
      </c>
      <c r="AO11" s="10">
        <f ca="1">'Corporation tax'!AO$69</f>
        <v>0</v>
      </c>
      <c r="AP11" s="10">
        <f ca="1">'Corporation tax'!AP$69</f>
        <v>0</v>
      </c>
      <c r="AQ11" s="10">
        <f ca="1">'Corporation tax'!AQ$69</f>
        <v>0</v>
      </c>
      <c r="AR11" s="10">
        <f ca="1">'Corporation tax'!AR$69</f>
        <v>0</v>
      </c>
      <c r="AS11" s="10">
        <f ca="1">'Corporation tax'!AS$69</f>
        <v>0</v>
      </c>
      <c r="AT11" s="10">
        <f ca="1">'Corporation tax'!AT$69</f>
        <v>0</v>
      </c>
      <c r="AU11" s="10">
        <f ca="1">'Corporation tax'!AU$69</f>
        <v>0</v>
      </c>
      <c r="AV11" s="10">
        <f ca="1">'Corporation tax'!AV$69</f>
        <v>0</v>
      </c>
      <c r="AW11" s="10">
        <f ca="1">'Corporation tax'!AW$69</f>
        <v>-3038017.585057735</v>
      </c>
      <c r="AX11" s="10">
        <f ca="1">'Corporation tax'!AX$69</f>
        <v>0</v>
      </c>
      <c r="AY11" s="10">
        <f ca="1">'Corporation tax'!AY$69</f>
        <v>0</v>
      </c>
      <c r="AZ11" s="10">
        <f ca="1">'Corporation tax'!AZ$69</f>
        <v>0</v>
      </c>
      <c r="BA11" s="10">
        <f ca="1">'Corporation tax'!BA$69</f>
        <v>0</v>
      </c>
      <c r="BB11" s="10">
        <f ca="1">'Corporation tax'!BB$69</f>
        <v>0</v>
      </c>
      <c r="BC11" s="10">
        <f ca="1">'Corporation tax'!BC$69</f>
        <v>0</v>
      </c>
      <c r="BD11" s="10">
        <f ca="1">'Corporation tax'!BD$69</f>
        <v>0</v>
      </c>
      <c r="BE11" s="10">
        <f ca="1">'Corporation tax'!BE$69</f>
        <v>0</v>
      </c>
      <c r="BF11" s="10">
        <f ca="1">'Corporation tax'!BF$69</f>
        <v>0</v>
      </c>
      <c r="BG11" s="10">
        <f ca="1">'Corporation tax'!BG$69</f>
        <v>0</v>
      </c>
      <c r="BH11" s="10">
        <f ca="1">'Corporation tax'!BH$69</f>
        <v>0</v>
      </c>
      <c r="BI11" s="10">
        <f ca="1">'Corporation tax'!BI$69</f>
        <v>-7304407.809826185</v>
      </c>
      <c r="BJ11" s="10">
        <f ca="1">'Corporation tax'!BJ$69</f>
        <v>0</v>
      </c>
      <c r="BK11" s="10">
        <f ca="1">'Corporation tax'!BK$69</f>
        <v>0</v>
      </c>
      <c r="BL11" s="10">
        <f ca="1">'Corporation tax'!BL$69</f>
        <v>0</v>
      </c>
      <c r="BM11" s="10">
        <f ca="1">'Corporation tax'!BM$69</f>
        <v>0</v>
      </c>
      <c r="BN11" s="10">
        <f ca="1">'Corporation tax'!BN$69</f>
        <v>0</v>
      </c>
      <c r="BO11" s="10">
        <f ca="1">'Corporation tax'!BO$69</f>
        <v>0</v>
      </c>
      <c r="BP11" s="10">
        <f ca="1">'Corporation tax'!BP$69</f>
        <v>0</v>
      </c>
      <c r="BQ11" s="10">
        <f ca="1">'Corporation tax'!BQ$69</f>
        <v>0</v>
      </c>
    </row>
    <row r="12" spans="1:69">
      <c r="E12" s="12" t="s">
        <v>114</v>
      </c>
      <c r="F12" s="30"/>
      <c r="G12" s="12" t="s">
        <v>258</v>
      </c>
      <c r="H12" s="56">
        <f ca="1" xml:space="preserve"> SUM( J12:BQ12 )</f>
        <v>164921155.01515478</v>
      </c>
      <c r="I12" s="30"/>
      <c r="J12" s="12">
        <f t="shared" ref="J12:BQ12" ca="1" si="0" xml:space="preserve"> SUM( J8:J11 )</f>
        <v>-65340</v>
      </c>
      <c r="K12" s="12">
        <f t="shared" ca="1" si="0"/>
        <v>-65340</v>
      </c>
      <c r="L12" s="12">
        <f t="shared" ca="1" si="0"/>
        <v>-82260</v>
      </c>
      <c r="M12" s="12">
        <f t="shared" ca="1" si="0"/>
        <v>106256.44343433587</v>
      </c>
      <c r="N12" s="12">
        <f t="shared" ca="1" si="0"/>
        <v>74576.443434335873</v>
      </c>
      <c r="O12" s="12">
        <f t="shared" ca="1" si="0"/>
        <v>219095.27190082025</v>
      </c>
      <c r="P12" s="12">
        <f t="shared" ca="1" si="0"/>
        <v>73343.62326449492</v>
      </c>
      <c r="Q12" s="12">
        <f t="shared" ca="1" si="0"/>
        <v>214463.62326449491</v>
      </c>
      <c r="R12" s="12">
        <f t="shared" ca="1" si="0"/>
        <v>400756.0150860108</v>
      </c>
      <c r="S12" s="12">
        <f t="shared" ca="1" si="0"/>
        <v>386000.82796718535</v>
      </c>
      <c r="T12" s="12">
        <f t="shared" ca="1" si="0"/>
        <v>386000.82796718535</v>
      </c>
      <c r="U12" s="12">
        <f t="shared" ca="1" si="0"/>
        <v>-400805.1065054388</v>
      </c>
      <c r="V12" s="12">
        <f t="shared" ca="1" si="0"/>
        <v>1589640.5229267438</v>
      </c>
      <c r="W12" s="12">
        <f t="shared" ca="1" si="0"/>
        <v>-143348.99422610237</v>
      </c>
      <c r="X12" s="12">
        <f t="shared" ca="1" si="0"/>
        <v>1090048.26029788</v>
      </c>
      <c r="Y12" s="12">
        <f t="shared" ca="1" si="0"/>
        <v>919704.91058256326</v>
      </c>
      <c r="Z12" s="12">
        <f t="shared" ca="1" si="0"/>
        <v>478325.21848896088</v>
      </c>
      <c r="AA12" s="12">
        <f t="shared" ca="1" si="0"/>
        <v>1195372.1605577858</v>
      </c>
      <c r="AB12" s="12">
        <f t="shared" ca="1" si="0"/>
        <v>194742.10056690293</v>
      </c>
      <c r="AC12" s="12">
        <f t="shared" ca="1" si="0"/>
        <v>162744.12836773446</v>
      </c>
      <c r="AD12" s="12">
        <f t="shared" ca="1" si="0"/>
        <v>464526.53279029782</v>
      </c>
      <c r="AE12" s="12">
        <f t="shared" ca="1" si="0"/>
        <v>318756.22367842507</v>
      </c>
      <c r="AF12" s="12">
        <f t="shared" ca="1" si="0"/>
        <v>310364.88950307458</v>
      </c>
      <c r="AG12" s="12">
        <f t="shared" ca="1" si="0"/>
        <v>-505960.82052168401</v>
      </c>
      <c r="AH12" s="12">
        <f t="shared" ca="1" si="0"/>
        <v>2350024.8370474274</v>
      </c>
      <c r="AI12" s="12">
        <f t="shared" ca="1" si="0"/>
        <v>612045.80274173524</v>
      </c>
      <c r="AJ12" s="12">
        <f t="shared" ca="1" si="0"/>
        <v>1564933.8603696777</v>
      </c>
      <c r="AK12" s="12">
        <f t="shared" ca="1" si="0"/>
        <v>1298011.7954654533</v>
      </c>
      <c r="AL12" s="12">
        <f t="shared" ca="1" si="0"/>
        <v>1879461.9595447816</v>
      </c>
      <c r="AM12" s="12">
        <f t="shared" ca="1" si="0"/>
        <v>1337856.3549152005</v>
      </c>
      <c r="AN12" s="12">
        <f t="shared" ca="1" si="0"/>
        <v>1582796.1624726993</v>
      </c>
      <c r="AO12" s="12">
        <f t="shared" ca="1" si="0"/>
        <v>1342429.947446283</v>
      </c>
      <c r="AP12" s="12">
        <f t="shared" ca="1" si="0"/>
        <v>944537.41170394956</v>
      </c>
      <c r="AQ12" s="12">
        <f t="shared" ca="1" si="0"/>
        <v>1310107.0644535697</v>
      </c>
      <c r="AR12" s="12">
        <f t="shared" ca="1" si="0"/>
        <v>2157324.3961028685</v>
      </c>
      <c r="AS12" s="12">
        <f t="shared" ca="1" si="0"/>
        <v>548461.07378932857</v>
      </c>
      <c r="AT12" s="12">
        <f t="shared" ca="1" si="0"/>
        <v>2978954.7641422967</v>
      </c>
      <c r="AU12" s="12">
        <f t="shared" ca="1" si="0"/>
        <v>2954506.130093351</v>
      </c>
      <c r="AV12" s="12">
        <f t="shared" ca="1" si="0"/>
        <v>1602694.1889204436</v>
      </c>
      <c r="AW12" s="12">
        <f t="shared" ca="1" si="0"/>
        <v>1589542.5271541462</v>
      </c>
      <c r="AX12" s="12">
        <f t="shared" ca="1" si="0"/>
        <v>4598485.6226487765</v>
      </c>
      <c r="AY12" s="12">
        <f t="shared" ca="1" si="0"/>
        <v>1928441.4158355459</v>
      </c>
      <c r="AZ12" s="12">
        <f t="shared" ca="1" si="0"/>
        <v>5397407.4358632825</v>
      </c>
      <c r="BA12" s="12">
        <f t="shared" ca="1" si="0"/>
        <v>4498831.8460097658</v>
      </c>
      <c r="BB12" s="12">
        <f t="shared" ca="1" si="0"/>
        <v>3249661.9613358635</v>
      </c>
      <c r="BC12" s="12">
        <f t="shared" ca="1" si="0"/>
        <v>6149707.355698185</v>
      </c>
      <c r="BD12" s="12">
        <f t="shared" ca="1" si="0"/>
        <v>6108589.8182389671</v>
      </c>
      <c r="BE12" s="12">
        <f t="shared" ca="1" si="0"/>
        <v>3582982.0812671352</v>
      </c>
      <c r="BF12" s="12">
        <f t="shared" ca="1" si="0"/>
        <v>6881210.3917740015</v>
      </c>
      <c r="BG12" s="12">
        <f t="shared" ca="1" si="0"/>
        <v>7696313.1236761082</v>
      </c>
      <c r="BH12" s="12">
        <f t="shared" ca="1" si="0"/>
        <v>4509640.0163277537</v>
      </c>
      <c r="BI12" s="12">
        <f t="shared" ca="1" si="0"/>
        <v>1147453.8927357169</v>
      </c>
      <c r="BJ12" s="12">
        <f t="shared" ca="1" si="0"/>
        <v>9257712.7234356925</v>
      </c>
      <c r="BK12" s="12">
        <f t="shared" ca="1" si="0"/>
        <v>5306189.4171032608</v>
      </c>
      <c r="BL12" s="12">
        <f t="shared" ca="1" si="0"/>
        <v>10857031.961819308</v>
      </c>
      <c r="BM12" s="12">
        <f t="shared" ca="1" si="0"/>
        <v>9923880.7821122743</v>
      </c>
      <c r="BN12" s="12">
        <f t="shared" ca="1" si="0"/>
        <v>7120706.8620077753</v>
      </c>
      <c r="BO12" s="12">
        <f t="shared" ca="1" si="0"/>
        <v>12363163.088313671</v>
      </c>
      <c r="BP12" s="12">
        <f t="shared" ca="1" si="0"/>
        <v>12280928.013395229</v>
      </c>
      <c r="BQ12" s="12">
        <f t="shared" ca="1" si="0"/>
        <v>8687465.8263672646</v>
      </c>
    </row>
    <row r="14" spans="1:6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'Working Capital'!J$15</f>
        <v>0</v>
      </c>
      <c r="K14" s="10">
        <f ca="1">'Working Capital'!K$15</f>
        <v>0</v>
      </c>
      <c r="L14" s="10">
        <f ca="1">'Working Capital'!L$15</f>
        <v>-105000</v>
      </c>
      <c r="M14" s="10">
        <f ca="1">'Working Capital'!M$15</f>
        <v>-105000</v>
      </c>
      <c r="N14" s="10">
        <f ca="1">'Working Capital'!N$15</f>
        <v>-105000</v>
      </c>
      <c r="O14" s="10">
        <f ca="1">'Working Capital'!O$15</f>
        <v>0</v>
      </c>
      <c r="P14" s="10">
        <f ca="1">'Working Capital'!P$15</f>
        <v>-105000</v>
      </c>
      <c r="Q14" s="10">
        <f ca="1">'Working Capital'!Q$15</f>
        <v>0</v>
      </c>
      <c r="R14" s="10">
        <f ca="1">'Working Capital'!R$15</f>
        <v>-398999.99999999994</v>
      </c>
      <c r="S14" s="10">
        <f ca="1">'Working Capital'!S$15</f>
        <v>-293999.99999999994</v>
      </c>
      <c r="T14" s="10">
        <f ca="1">'Working Capital'!T$15</f>
        <v>-293999.99999999994</v>
      </c>
      <c r="U14" s="10">
        <f ca="1">'Working Capital'!U$15</f>
        <v>0</v>
      </c>
      <c r="V14" s="10">
        <f ca="1">'Working Capital'!V$15</f>
        <v>-293999.99999999994</v>
      </c>
      <c r="W14" s="10">
        <f ca="1">'Working Capital'!W$15</f>
        <v>0</v>
      </c>
      <c r="X14" s="10">
        <f ca="1">'Working Capital'!X$15</f>
        <v>-293999.99999999994</v>
      </c>
      <c r="Y14" s="10">
        <f ca="1">'Working Capital'!Y$15</f>
        <v>-52500</v>
      </c>
      <c r="Z14" s="10">
        <f ca="1">'Working Capital'!Z$15</f>
        <v>-52500</v>
      </c>
      <c r="AA14" s="10">
        <f ca="1">'Working Capital'!AA$15</f>
        <v>-52500</v>
      </c>
      <c r="AB14" s="10">
        <f ca="1">'Working Capital'!AB$15</f>
        <v>-105000</v>
      </c>
      <c r="AC14" s="10">
        <f ca="1">'Working Capital'!AC$15</f>
        <v>-105000</v>
      </c>
      <c r="AD14" s="10">
        <f ca="1">'Working Capital'!AD$15</f>
        <v>-52500</v>
      </c>
      <c r="AE14" s="10">
        <f ca="1">'Working Capital'!AE$15</f>
        <v>-251999.99999999997</v>
      </c>
      <c r="AF14" s="10">
        <f ca="1">'Working Capital'!AF$15</f>
        <v>-251999.99999999997</v>
      </c>
      <c r="AG14" s="10">
        <f ca="1">'Working Capital'!AG$15</f>
        <v>-251999.99999999997</v>
      </c>
      <c r="AH14" s="10">
        <f ca="1">'Working Capital'!AH$15</f>
        <v>-398999.99999999994</v>
      </c>
      <c r="AI14" s="10">
        <f ca="1">'Working Capital'!AI$15</f>
        <v>-451499.99999999994</v>
      </c>
      <c r="AJ14" s="10">
        <f ca="1">'Working Capital'!AJ$15</f>
        <v>-251999.99999999997</v>
      </c>
      <c r="AK14" s="10">
        <f ca="1">'Working Capital'!AK$15</f>
        <v>-451499.99999999994</v>
      </c>
      <c r="AL14" s="10">
        <f ca="1">'Working Capital'!AL$15</f>
        <v>-451499.99999999994</v>
      </c>
      <c r="AM14" s="10">
        <f ca="1">'Working Capital'!AM$15</f>
        <v>-451499.99999999994</v>
      </c>
      <c r="AN14" s="10">
        <f ca="1">'Working Capital'!AN$15</f>
        <v>-503999.99999999994</v>
      </c>
      <c r="AO14" s="10">
        <f ca="1">'Working Capital'!AO$15</f>
        <v>-651000</v>
      </c>
      <c r="AP14" s="10">
        <f ca="1">'Working Capital'!AP$15</f>
        <v>-503999.99999999994</v>
      </c>
      <c r="AQ14" s="10">
        <f ca="1">'Working Capital'!AQ$15</f>
        <v>-703500</v>
      </c>
      <c r="AR14" s="10">
        <f ca="1">'Working Capital'!AR$15</f>
        <v>-651000</v>
      </c>
      <c r="AS14" s="10">
        <f ca="1">'Working Capital'!AS$15</f>
        <v>-703500</v>
      </c>
      <c r="AT14" s="10">
        <f ca="1">'Working Capital'!AT$15</f>
        <v>-902999.99999999988</v>
      </c>
      <c r="AU14" s="10">
        <f ca="1">'Working Capital'!AU$15</f>
        <v>-850499.99999999988</v>
      </c>
      <c r="AV14" s="10">
        <f ca="1">'Working Capital'!AV$15</f>
        <v>-902999.99999999988</v>
      </c>
      <c r="AW14" s="10">
        <f ca="1">'Working Capital'!AW$15</f>
        <v>-1050000</v>
      </c>
      <c r="AX14" s="10">
        <f ca="1">'Working Capital'!AX$15</f>
        <v>-955499.99999999988</v>
      </c>
      <c r="AY14" s="10">
        <f ca="1">'Working Capital'!AY$15</f>
        <v>-1102500</v>
      </c>
      <c r="AZ14" s="10">
        <f ca="1">'Working Capital'!AZ$15</f>
        <v>-1249500</v>
      </c>
      <c r="BA14" s="10">
        <f ca="1">'Working Capital'!BA$15</f>
        <v>-1155000</v>
      </c>
      <c r="BB14" s="10">
        <f ca="1">'Working Capital'!BB$15</f>
        <v>-1302000</v>
      </c>
      <c r="BC14" s="10">
        <f ca="1">'Working Capital'!BC$15</f>
        <v>-1354500</v>
      </c>
      <c r="BD14" s="10">
        <f ca="1">'Working Capital'!BD$15</f>
        <v>-1501500</v>
      </c>
      <c r="BE14" s="10">
        <f ca="1">'Working Capital'!BE$15</f>
        <v>-1554000</v>
      </c>
      <c r="BF14" s="10">
        <f ca="1">'Working Capital'!BF$15</f>
        <v>-1554000</v>
      </c>
      <c r="BG14" s="10">
        <f ca="1">'Working Capital'!BG$15</f>
        <v>-1753499.9999999998</v>
      </c>
      <c r="BH14" s="10">
        <f ca="1">'Working Capital'!BH$15</f>
        <v>-1805999.9999999998</v>
      </c>
      <c r="BI14" s="10">
        <f ca="1">'Working Capital'!BI$15</f>
        <v>-1953000</v>
      </c>
      <c r="BJ14" s="10">
        <f ca="1">'Working Capital'!BJ$15</f>
        <v>-2005500</v>
      </c>
      <c r="BK14" s="10">
        <f ca="1">'Working Capital'!BK$15</f>
        <v>-2205000</v>
      </c>
      <c r="BL14" s="10">
        <f ca="1">'Working Capital'!BL$15</f>
        <v>-2257500</v>
      </c>
      <c r="BM14" s="10">
        <f ca="1">'Working Capital'!BM$15</f>
        <v>-2404500</v>
      </c>
      <c r="BN14" s="10">
        <f ca="1">'Working Capital'!BN$15</f>
        <v>-2656500</v>
      </c>
      <c r="BO14" s="10">
        <f ca="1">'Working Capital'!BO$15</f>
        <v>-2656500</v>
      </c>
      <c r="BP14" s="10">
        <f ca="1">'Working Capital'!BP$15</f>
        <v>-2908500</v>
      </c>
      <c r="BQ14" s="10">
        <f ca="1">'Working Capital'!BQ$15</f>
        <v>-3055500</v>
      </c>
    </row>
    <row r="15" spans="1:69">
      <c r="E15" s="12" t="s">
        <v>19</v>
      </c>
      <c r="F15" s="30"/>
      <c r="G15" s="12" t="s">
        <v>258</v>
      </c>
      <c r="H15" s="56">
        <f ca="1" xml:space="preserve"> SUM( J15:BQ15 )</f>
        <v>114479155.01515478</v>
      </c>
      <c r="I15" s="30"/>
      <c r="J15" s="12">
        <f t="shared" ref="J15:BQ15" ca="1" si="1" xml:space="preserve"> J12 + J14</f>
        <v>-65340</v>
      </c>
      <c r="K15" s="12">
        <f t="shared" ca="1" si="1"/>
        <v>-65340</v>
      </c>
      <c r="L15" s="12">
        <f t="shared" ca="1" si="1"/>
        <v>-187260</v>
      </c>
      <c r="M15" s="12">
        <f t="shared" ca="1" si="1"/>
        <v>1256.4434343358735</v>
      </c>
      <c r="N15" s="12">
        <f t="shared" ca="1" si="1"/>
        <v>-30423.556565664127</v>
      </c>
      <c r="O15" s="12">
        <f t="shared" ca="1" si="1"/>
        <v>219095.27190082025</v>
      </c>
      <c r="P15" s="12">
        <f t="shared" ca="1" si="1"/>
        <v>-31656.37673550508</v>
      </c>
      <c r="Q15" s="12">
        <f t="shared" ca="1" si="1"/>
        <v>214463.62326449491</v>
      </c>
      <c r="R15" s="12">
        <f t="shared" ca="1" si="1"/>
        <v>1756.0150860108552</v>
      </c>
      <c r="S15" s="12">
        <f t="shared" ca="1" si="1"/>
        <v>92000.827967185411</v>
      </c>
      <c r="T15" s="12">
        <f t="shared" ca="1" si="1"/>
        <v>92000.827967185411</v>
      </c>
      <c r="U15" s="12">
        <f t="shared" ca="1" si="1"/>
        <v>-400805.1065054388</v>
      </c>
      <c r="V15" s="12">
        <f t="shared" ca="1" si="1"/>
        <v>1295640.5229267438</v>
      </c>
      <c r="W15" s="12">
        <f t="shared" ca="1" si="1"/>
        <v>-143348.99422610237</v>
      </c>
      <c r="X15" s="12">
        <f t="shared" ca="1" si="1"/>
        <v>796048.26029788004</v>
      </c>
      <c r="Y15" s="12">
        <f t="shared" ca="1" si="1"/>
        <v>867204.91058256326</v>
      </c>
      <c r="Z15" s="12">
        <f t="shared" ca="1" si="1"/>
        <v>425825.21848896088</v>
      </c>
      <c r="AA15" s="12">
        <f t="shared" ca="1" si="1"/>
        <v>1142872.1605577858</v>
      </c>
      <c r="AB15" s="12">
        <f t="shared" ca="1" si="1"/>
        <v>89742.100566902925</v>
      </c>
      <c r="AC15" s="12">
        <f t="shared" ca="1" si="1"/>
        <v>57744.128367734462</v>
      </c>
      <c r="AD15" s="12">
        <f t="shared" ca="1" si="1"/>
        <v>412026.53279029782</v>
      </c>
      <c r="AE15" s="12">
        <f t="shared" ca="1" si="1"/>
        <v>66756.2236784251</v>
      </c>
      <c r="AF15" s="12">
        <f t="shared" ca="1" si="1"/>
        <v>58364.889503074606</v>
      </c>
      <c r="AG15" s="12">
        <f t="shared" ca="1" si="1"/>
        <v>-757960.82052168401</v>
      </c>
      <c r="AH15" s="12">
        <f t="shared" ca="1" si="1"/>
        <v>1951024.8370474274</v>
      </c>
      <c r="AI15" s="12">
        <f t="shared" ca="1" si="1"/>
        <v>160545.8027417353</v>
      </c>
      <c r="AJ15" s="12">
        <f t="shared" ca="1" si="1"/>
        <v>1312933.8603696777</v>
      </c>
      <c r="AK15" s="12">
        <f t="shared" ca="1" si="1"/>
        <v>846511.7954654533</v>
      </c>
      <c r="AL15" s="12">
        <f t="shared" ca="1" si="1"/>
        <v>1427961.9595447816</v>
      </c>
      <c r="AM15" s="12">
        <f t="shared" ca="1" si="1"/>
        <v>886356.3549152005</v>
      </c>
      <c r="AN15" s="12">
        <f t="shared" ca="1" si="1"/>
        <v>1078796.1624726993</v>
      </c>
      <c r="AO15" s="12">
        <f t="shared" ca="1" si="1"/>
        <v>691429.94744628295</v>
      </c>
      <c r="AP15" s="12">
        <f t="shared" ca="1" si="1"/>
        <v>440537.41170394962</v>
      </c>
      <c r="AQ15" s="12">
        <f t="shared" ca="1" si="1"/>
        <v>606607.06445356971</v>
      </c>
      <c r="AR15" s="12">
        <f t="shared" ca="1" si="1"/>
        <v>1506324.3961028685</v>
      </c>
      <c r="AS15" s="12">
        <f t="shared" ca="1" si="1"/>
        <v>-155038.92621067143</v>
      </c>
      <c r="AT15" s="12">
        <f t="shared" ca="1" si="1"/>
        <v>2075954.7641422967</v>
      </c>
      <c r="AU15" s="12">
        <f t="shared" ca="1" si="1"/>
        <v>2104006.130093351</v>
      </c>
      <c r="AV15" s="12">
        <f t="shared" ca="1" si="1"/>
        <v>699694.18892044376</v>
      </c>
      <c r="AW15" s="12">
        <f t="shared" ca="1" si="1"/>
        <v>539542.52715414623</v>
      </c>
      <c r="AX15" s="12">
        <f t="shared" ca="1" si="1"/>
        <v>3642985.6226487765</v>
      </c>
      <c r="AY15" s="12">
        <f t="shared" ca="1" si="1"/>
        <v>825941.41583554586</v>
      </c>
      <c r="AZ15" s="12">
        <f t="shared" ca="1" si="1"/>
        <v>4147907.4358632825</v>
      </c>
      <c r="BA15" s="12">
        <f t="shared" ca="1" si="1"/>
        <v>3343831.8460097658</v>
      </c>
      <c r="BB15" s="12">
        <f t="shared" ca="1" si="1"/>
        <v>1947661.9613358635</v>
      </c>
      <c r="BC15" s="12">
        <f t="shared" ca="1" si="1"/>
        <v>4795207.355698185</v>
      </c>
      <c r="BD15" s="12">
        <f t="shared" ca="1" si="1"/>
        <v>4607089.8182389671</v>
      </c>
      <c r="BE15" s="12">
        <f t="shared" ca="1" si="1"/>
        <v>2028982.0812671352</v>
      </c>
      <c r="BF15" s="12">
        <f t="shared" ca="1" si="1"/>
        <v>5327210.3917740015</v>
      </c>
      <c r="BG15" s="12">
        <f t="shared" ca="1" si="1"/>
        <v>5942813.1236761082</v>
      </c>
      <c r="BH15" s="12">
        <f t="shared" ca="1" si="1"/>
        <v>2703640.0163277537</v>
      </c>
      <c r="BI15" s="12">
        <f t="shared" ca="1" si="1"/>
        <v>-805546.10726428311</v>
      </c>
      <c r="BJ15" s="12">
        <f t="shared" ca="1" si="1"/>
        <v>7252212.7234356925</v>
      </c>
      <c r="BK15" s="12">
        <f t="shared" ca="1" si="1"/>
        <v>3101189.4171032608</v>
      </c>
      <c r="BL15" s="12">
        <f t="shared" ca="1" si="1"/>
        <v>8599531.9618193079</v>
      </c>
      <c r="BM15" s="12">
        <f t="shared" ca="1" si="1"/>
        <v>7519380.7821122743</v>
      </c>
      <c r="BN15" s="12">
        <f t="shared" ca="1" si="1"/>
        <v>4464206.8620077753</v>
      </c>
      <c r="BO15" s="12">
        <f t="shared" ca="1" si="1"/>
        <v>9706663.0883136708</v>
      </c>
      <c r="BP15" s="12">
        <f t="shared" ca="1" si="1"/>
        <v>9372428.0133952294</v>
      </c>
      <c r="BQ15" s="12">
        <f t="shared" ca="1" si="1"/>
        <v>5631965.8263672646</v>
      </c>
    </row>
    <row r="17" spans="5:6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'Supply Chain finance'!J$22</f>
        <v>0</v>
      </c>
      <c r="K17" s="10">
        <f xml:space="preserve"> 'Supply Chain finance'!K$22</f>
        <v>0</v>
      </c>
      <c r="L17" s="10">
        <f xml:space="preserve"> 'Supply Chain finance'!L$22</f>
        <v>280000</v>
      </c>
      <c r="M17" s="10">
        <f xml:space="preserve"> 'Supply Chain finance'!M$22</f>
        <v>280000</v>
      </c>
      <c r="N17" s="10">
        <f xml:space="preserve"> 'Supply Chain finance'!N$22</f>
        <v>280000</v>
      </c>
      <c r="O17" s="10">
        <f xml:space="preserve"> 'Supply Chain finance'!O$22</f>
        <v>0</v>
      </c>
      <c r="P17" s="10">
        <f xml:space="preserve"> 'Supply Chain finance'!P$22</f>
        <v>280000</v>
      </c>
      <c r="Q17" s="10">
        <f xml:space="preserve"> 'Supply Chain finance'!Q$22</f>
        <v>0</v>
      </c>
      <c r="R17" s="10">
        <f xml:space="preserve"> 'Supply Chain finance'!R$22</f>
        <v>280000</v>
      </c>
      <c r="S17" s="10">
        <f xml:space="preserve"> 'Supply Chain finance'!S$22</f>
        <v>0</v>
      </c>
      <c r="T17" s="10">
        <f xml:space="preserve"> 'Supply Chain finance'!T$22</f>
        <v>0</v>
      </c>
      <c r="U17" s="10">
        <f xml:space="preserve"> 'Supply Chain finance'!U$22</f>
        <v>0</v>
      </c>
      <c r="V17" s="10">
        <f ca="1" xml:space="preserve"> 'Supply Chain finance'!V$22</f>
        <v>0</v>
      </c>
      <c r="W17" s="10">
        <f ca="1" xml:space="preserve"> 'Supply Chain finance'!W$22</f>
        <v>0</v>
      </c>
      <c r="X17" s="10">
        <f ca="1" xml:space="preserve"> 'Supply Chain finance'!X$22</f>
        <v>0</v>
      </c>
      <c r="Y17" s="10">
        <f ca="1" xml:space="preserve"> 'Supply Chain finance'!Y$22</f>
        <v>140000</v>
      </c>
      <c r="Z17" s="10">
        <f ca="1" xml:space="preserve"> 'Supply Chain finance'!Z$22</f>
        <v>140000</v>
      </c>
      <c r="AA17" s="10">
        <f ca="1" xml:space="preserve"> 'Supply Chain finance'!AA$22</f>
        <v>140000</v>
      </c>
      <c r="AB17" s="10">
        <f ca="1" xml:space="preserve"> 'Supply Chain finance'!AB$22</f>
        <v>280000</v>
      </c>
      <c r="AC17" s="10">
        <f ca="1" xml:space="preserve"> 'Supply Chain finance'!AC$22</f>
        <v>280000</v>
      </c>
      <c r="AD17" s="10">
        <f ca="1" xml:space="preserve"> 'Supply Chain finance'!AD$22</f>
        <v>140000</v>
      </c>
      <c r="AE17" s="10">
        <f ca="1" xml:space="preserve"> 'Supply Chain finance'!AE$22</f>
        <v>280000</v>
      </c>
      <c r="AF17" s="10">
        <f ca="1" xml:space="preserve"> 'Supply Chain finance'!AF$22</f>
        <v>280000</v>
      </c>
      <c r="AG17" s="10">
        <f ca="1" xml:space="preserve"> 'Supply Chain finance'!AG$22</f>
        <v>280000</v>
      </c>
      <c r="AH17" s="10">
        <f ca="1" xml:space="preserve"> 'Supply Chain finance'!AH$22</f>
        <v>280000</v>
      </c>
      <c r="AI17" s="10">
        <f ca="1" xml:space="preserve"> 'Supply Chain finance'!AI$22</f>
        <v>420000</v>
      </c>
      <c r="AJ17" s="10">
        <f ca="1" xml:space="preserve"> 'Supply Chain finance'!AJ$22</f>
        <v>0</v>
      </c>
      <c r="AK17" s="10">
        <f ca="1" xml:space="preserve"> 'Supply Chain finance'!AK$22</f>
        <v>0</v>
      </c>
      <c r="AL17" s="10">
        <f ca="1" xml:space="preserve"> 'Supply Chain finance'!AL$22</f>
        <v>0</v>
      </c>
      <c r="AM17" s="10">
        <f ca="1" xml:space="preserve"> 'Supply Chain finance'!AM$22</f>
        <v>0</v>
      </c>
      <c r="AN17" s="10">
        <f ca="1" xml:space="preserve"> 'Supply Chain finance'!AN$22</f>
        <v>0</v>
      </c>
      <c r="AO17" s="10">
        <f ca="1" xml:space="preserve"> 'Supply Chain finance'!AO$22</f>
        <v>0</v>
      </c>
      <c r="AP17" s="10">
        <f ca="1" xml:space="preserve"> 'Supply Chain finance'!AP$22</f>
        <v>0</v>
      </c>
      <c r="AQ17" s="10">
        <f ca="1" xml:space="preserve"> 'Supply Chain finance'!AQ$22</f>
        <v>0</v>
      </c>
      <c r="AR17" s="10">
        <f ca="1" xml:space="preserve"> 'Supply Chain finance'!AR$22</f>
        <v>0</v>
      </c>
      <c r="AS17" s="10">
        <f ca="1" xml:space="preserve"> 'Supply Chain finance'!AS$22</f>
        <v>0</v>
      </c>
      <c r="AT17" s="10">
        <f ca="1" xml:space="preserve"> 'Supply Chain finance'!AT$22</f>
        <v>0</v>
      </c>
      <c r="AU17" s="10">
        <f ca="1" xml:space="preserve"> 'Supply Chain finance'!AU$22</f>
        <v>0</v>
      </c>
      <c r="AV17" s="10">
        <f ca="1" xml:space="preserve"> 'Supply Chain finance'!AV$22</f>
        <v>0</v>
      </c>
      <c r="AW17" s="10">
        <f ca="1" xml:space="preserve"> 'Supply Chain finance'!AW$22</f>
        <v>0</v>
      </c>
      <c r="AX17" s="10">
        <f ca="1" xml:space="preserve"> 'Supply Chain finance'!AX$22</f>
        <v>0</v>
      </c>
      <c r="AY17" s="10">
        <f ca="1" xml:space="preserve"> 'Supply Chain finance'!AY$22</f>
        <v>0</v>
      </c>
      <c r="AZ17" s="10">
        <f ca="1" xml:space="preserve"> 'Supply Chain finance'!AZ$22</f>
        <v>0</v>
      </c>
      <c r="BA17" s="10">
        <f ca="1" xml:space="preserve"> 'Supply Chain finance'!BA$22</f>
        <v>0</v>
      </c>
      <c r="BB17" s="10">
        <f ca="1" xml:space="preserve"> 'Supply Chain finance'!BB$22</f>
        <v>0</v>
      </c>
      <c r="BC17" s="10">
        <f ca="1" xml:space="preserve"> 'Supply Chain finance'!BC$22</f>
        <v>0</v>
      </c>
      <c r="BD17" s="10">
        <f ca="1" xml:space="preserve"> 'Supply Chain finance'!BD$22</f>
        <v>0</v>
      </c>
      <c r="BE17" s="10">
        <f ca="1" xml:space="preserve"> 'Supply Chain finance'!BE$22</f>
        <v>0</v>
      </c>
      <c r="BF17" s="10">
        <f ca="1" xml:space="preserve"> 'Supply Chain finance'!BF$22</f>
        <v>0</v>
      </c>
      <c r="BG17" s="10">
        <f ca="1" xml:space="preserve"> 'Supply Chain finance'!BG$22</f>
        <v>0</v>
      </c>
      <c r="BH17" s="10">
        <f ca="1" xml:space="preserve"> 'Supply Chain finance'!BH$22</f>
        <v>0</v>
      </c>
      <c r="BI17" s="10">
        <f ca="1" xml:space="preserve"> 'Supply Chain finance'!BI$22</f>
        <v>0</v>
      </c>
      <c r="BJ17" s="10">
        <f ca="1" xml:space="preserve"> 'Supply Chain finance'!BJ$22</f>
        <v>0</v>
      </c>
      <c r="BK17" s="10">
        <f ca="1" xml:space="preserve"> 'Supply Chain finance'!BK$22</f>
        <v>0</v>
      </c>
      <c r="BL17" s="10">
        <f ca="1" xml:space="preserve"> 'Supply Chain finance'!BL$22</f>
        <v>0</v>
      </c>
      <c r="BM17" s="10">
        <f ca="1" xml:space="preserve"> 'Supply Chain finance'!BM$22</f>
        <v>0</v>
      </c>
      <c r="BN17" s="10">
        <f ca="1" xml:space="preserve"> 'Supply Chain finance'!BN$22</f>
        <v>0</v>
      </c>
      <c r="BO17" s="10">
        <f ca="1" xml:space="preserve"> 'Supply Chain finance'!BO$22</f>
        <v>0</v>
      </c>
      <c r="BP17" s="10">
        <f ca="1" xml:space="preserve"> 'Supply Chain finance'!BP$22</f>
        <v>0</v>
      </c>
      <c r="BQ17" s="10">
        <f ca="1" xml:space="preserve"> 'Supply Chain finance'!BQ$22</f>
        <v>0</v>
      </c>
    </row>
    <row r="18" spans="5:6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'Supply Chain finance'!J$29</f>
        <v>0</v>
      </c>
      <c r="K18" s="10">
        <f ca="1">'Supply Chain finance'!K$29</f>
        <v>0</v>
      </c>
      <c r="L18" s="10">
        <f ca="1">'Supply Chain finance'!L$29</f>
        <v>0</v>
      </c>
      <c r="M18" s="10">
        <f ca="1">'Supply Chain finance'!M$29</f>
        <v>0</v>
      </c>
      <c r="N18" s="10">
        <f ca="1">'Supply Chain finance'!N$29</f>
        <v>0</v>
      </c>
      <c r="O18" s="10">
        <f ca="1">'Supply Chain finance'!O$29</f>
        <v>0</v>
      </c>
      <c r="P18" s="10">
        <f ca="1">'Supply Chain finance'!P$29</f>
        <v>0</v>
      </c>
      <c r="Q18" s="10">
        <f ca="1">'Supply Chain finance'!Q$29</f>
        <v>0</v>
      </c>
      <c r="R18" s="10">
        <f ca="1">'Supply Chain finance'!R$29</f>
        <v>-280000</v>
      </c>
      <c r="S18" s="10">
        <f ca="1">'Supply Chain finance'!S$29</f>
        <v>-280000</v>
      </c>
      <c r="T18" s="10">
        <f ca="1">'Supply Chain finance'!T$29</f>
        <v>-280000</v>
      </c>
      <c r="U18" s="10">
        <f ca="1">'Supply Chain finance'!U$29</f>
        <v>0</v>
      </c>
      <c r="V18" s="10">
        <f ca="1">'Supply Chain finance'!V$29</f>
        <v>-280000</v>
      </c>
      <c r="W18" s="10">
        <f ca="1">'Supply Chain finance'!W$29</f>
        <v>0</v>
      </c>
      <c r="X18" s="10">
        <f ca="1">'Supply Chain finance'!X$29</f>
        <v>-280000</v>
      </c>
      <c r="Y18" s="10">
        <f ca="1">'Supply Chain finance'!Y$29</f>
        <v>0</v>
      </c>
      <c r="Z18" s="10">
        <f ca="1">'Supply Chain finance'!Z$29</f>
        <v>0</v>
      </c>
      <c r="AA18" s="10">
        <f ca="1">'Supply Chain finance'!AA$29</f>
        <v>0</v>
      </c>
      <c r="AB18" s="10">
        <f ca="1">'Supply Chain finance'!AB$29</f>
        <v>0</v>
      </c>
      <c r="AC18" s="10">
        <f ca="1">'Supply Chain finance'!AC$29</f>
        <v>0</v>
      </c>
      <c r="AD18" s="10">
        <f ca="1">'Supply Chain finance'!AD$29</f>
        <v>0</v>
      </c>
      <c r="AE18" s="10">
        <f ca="1">'Supply Chain finance'!AE$29</f>
        <v>-140000</v>
      </c>
      <c r="AF18" s="10">
        <f ca="1">'Supply Chain finance'!AF$29</f>
        <v>-140000</v>
      </c>
      <c r="AG18" s="10">
        <f ca="1">'Supply Chain finance'!AG$29</f>
        <v>-140000</v>
      </c>
      <c r="AH18" s="10">
        <f ca="1">'Supply Chain finance'!AH$29</f>
        <v>-280000</v>
      </c>
      <c r="AI18" s="10">
        <f ca="1">'Supply Chain finance'!AI$29</f>
        <v>-280000</v>
      </c>
      <c r="AJ18" s="10">
        <f ca="1">'Supply Chain finance'!AJ$29</f>
        <v>-140000</v>
      </c>
      <c r="AK18" s="10">
        <f ca="1">'Supply Chain finance'!AK$29</f>
        <v>-280000</v>
      </c>
      <c r="AL18" s="10">
        <f ca="1">'Supply Chain finance'!AL$29</f>
        <v>-280000</v>
      </c>
      <c r="AM18" s="10">
        <f ca="1">'Supply Chain finance'!AM$29</f>
        <v>-280000</v>
      </c>
      <c r="AN18" s="10">
        <f ca="1">'Supply Chain finance'!AN$29</f>
        <v>-280000</v>
      </c>
      <c r="AO18" s="10">
        <f ca="1">'Supply Chain finance'!AO$29</f>
        <v>-420000</v>
      </c>
      <c r="AP18" s="10">
        <f ca="1">'Supply Chain finance'!AP$29</f>
        <v>0</v>
      </c>
      <c r="AQ18" s="10">
        <f ca="1">'Supply Chain finance'!AQ$29</f>
        <v>0</v>
      </c>
      <c r="AR18" s="10">
        <f ca="1">'Supply Chain finance'!AR$29</f>
        <v>0</v>
      </c>
      <c r="AS18" s="10">
        <f ca="1">'Supply Chain finance'!AS$29</f>
        <v>0</v>
      </c>
      <c r="AT18" s="10">
        <f ca="1">'Supply Chain finance'!AT$29</f>
        <v>0</v>
      </c>
      <c r="AU18" s="10">
        <f ca="1">'Supply Chain finance'!AU$29</f>
        <v>0</v>
      </c>
      <c r="AV18" s="10">
        <f ca="1">'Supply Chain finance'!AV$29</f>
        <v>0</v>
      </c>
      <c r="AW18" s="10">
        <f ca="1">'Supply Chain finance'!AW$29</f>
        <v>0</v>
      </c>
      <c r="AX18" s="10">
        <f ca="1">'Supply Chain finance'!AX$29</f>
        <v>0</v>
      </c>
      <c r="AY18" s="10">
        <f ca="1">'Supply Chain finance'!AY$29</f>
        <v>0</v>
      </c>
      <c r="AZ18" s="10">
        <f ca="1">'Supply Chain finance'!AZ$29</f>
        <v>0</v>
      </c>
      <c r="BA18" s="10">
        <f ca="1">'Supply Chain finance'!BA$29</f>
        <v>0</v>
      </c>
      <c r="BB18" s="10">
        <f ca="1">'Supply Chain finance'!BB$29</f>
        <v>0</v>
      </c>
      <c r="BC18" s="10">
        <f ca="1">'Supply Chain finance'!BC$29</f>
        <v>0</v>
      </c>
      <c r="BD18" s="10">
        <f ca="1">'Supply Chain finance'!BD$29</f>
        <v>0</v>
      </c>
      <c r="BE18" s="10">
        <f ca="1">'Supply Chain finance'!BE$29</f>
        <v>0</v>
      </c>
      <c r="BF18" s="10">
        <f ca="1">'Supply Chain finance'!BF$29</f>
        <v>0</v>
      </c>
      <c r="BG18" s="10">
        <f ca="1">'Supply Chain finance'!BG$29</f>
        <v>0</v>
      </c>
      <c r="BH18" s="10">
        <f ca="1">'Supply Chain finance'!BH$29</f>
        <v>0</v>
      </c>
      <c r="BI18" s="10">
        <f ca="1">'Supply Chain finance'!BI$29</f>
        <v>0</v>
      </c>
      <c r="BJ18" s="10">
        <f ca="1">'Supply Chain finance'!BJ$29</f>
        <v>0</v>
      </c>
      <c r="BK18" s="10">
        <f ca="1">'Supply Chain finance'!BK$29</f>
        <v>0</v>
      </c>
      <c r="BL18" s="10">
        <f ca="1">'Supply Chain finance'!BL$29</f>
        <v>0</v>
      </c>
      <c r="BM18" s="10">
        <f ca="1">'Supply Chain finance'!BM$29</f>
        <v>0</v>
      </c>
      <c r="BN18" s="10">
        <f ca="1">'Supply Chain finance'!BN$29</f>
        <v>0</v>
      </c>
      <c r="BO18" s="10">
        <f ca="1">'Supply Chain finance'!BO$29</f>
        <v>0</v>
      </c>
      <c r="BP18" s="10">
        <f ca="1">'Supply Chain finance'!BP$29</f>
        <v>0</v>
      </c>
      <c r="BQ18" s="10">
        <f ca="1">'Supply Chain finance'!BQ$29</f>
        <v>0</v>
      </c>
    </row>
    <row r="19" spans="5:6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'Invoice finance'!J$21</f>
        <v>0</v>
      </c>
      <c r="K19" s="10">
        <f ca="1" xml:space="preserve"> 'Invoice finance'!K$21</f>
        <v>27000</v>
      </c>
      <c r="L19" s="10">
        <f ca="1" xml:space="preserve"> 'Invoice finance'!L$21</f>
        <v>37800</v>
      </c>
      <c r="M19" s="10">
        <f ca="1" xml:space="preserve"> 'Invoice finance'!M$21</f>
        <v>48600</v>
      </c>
      <c r="N19" s="10">
        <f ca="1" xml:space="preserve"> 'Invoice finance'!N$21</f>
        <v>59400</v>
      </c>
      <c r="O19" s="10">
        <f ca="1" xml:space="preserve"> 'Invoice finance'!O$21</f>
        <v>81000</v>
      </c>
      <c r="P19" s="10">
        <f ca="1" xml:space="preserve"> 'Invoice finance'!P$21</f>
        <v>124200</v>
      </c>
      <c r="Q19" s="10">
        <f ca="1" xml:space="preserve"> 'Invoice finance'!Q$21</f>
        <v>156600</v>
      </c>
      <c r="R19" s="10">
        <f ca="1" xml:space="preserve"> 'Invoice finance'!R$21</f>
        <v>189000</v>
      </c>
      <c r="S19" s="10">
        <f ca="1" xml:space="preserve"> 'Invoice finance'!S$21</f>
        <v>189000</v>
      </c>
      <c r="T19" s="10">
        <f ca="1" xml:space="preserve"> 'Invoice finance'!T$21</f>
        <v>297000</v>
      </c>
      <c r="U19" s="10">
        <f ca="1" xml:space="preserve"> 'Invoice finance'!U$21</f>
        <v>297000</v>
      </c>
      <c r="V19" s="10">
        <f ca="1" xml:space="preserve"> 'Invoice finance'!V$21</f>
        <v>405000</v>
      </c>
      <c r="W19" s="10">
        <f ca="1" xml:space="preserve"> 'Invoice finance'!W$21</f>
        <v>483811.00709540193</v>
      </c>
      <c r="X19" s="10">
        <f ca="1" xml:space="preserve"> 'Invoice finance'!X$21</f>
        <v>513000</v>
      </c>
      <c r="Y19" s="10">
        <f ca="1" xml:space="preserve"> 'Invoice finance'!Y$21</f>
        <v>608641.1419142551</v>
      </c>
      <c r="Z19" s="10">
        <f ca="1" xml:space="preserve"> 'Invoice finance'!Z$21</f>
        <v>621000</v>
      </c>
      <c r="AA19" s="10">
        <f ca="1" xml:space="preserve"> 'Invoice finance'!AA$21</f>
        <v>621000</v>
      </c>
      <c r="AB19" s="10">
        <f ca="1" xml:space="preserve"> 'Invoice finance'!AB$21</f>
        <v>621000</v>
      </c>
      <c r="AC19" s="10">
        <f ca="1" xml:space="preserve"> 'Invoice finance'!AC$21</f>
        <v>621000</v>
      </c>
      <c r="AD19" s="10">
        <f ca="1" xml:space="preserve"> 'Invoice finance'!AD$21</f>
        <v>621000</v>
      </c>
      <c r="AE19" s="10">
        <f ca="1" xml:space="preserve"> 'Invoice finance'!AE$21</f>
        <v>621000</v>
      </c>
      <c r="AF19" s="10">
        <f ca="1" xml:space="preserve"> 'Invoice finance'!AF$21</f>
        <v>675000</v>
      </c>
      <c r="AG19" s="10">
        <f ca="1" xml:space="preserve"> 'Invoice finance'!AG$21</f>
        <v>729000</v>
      </c>
      <c r="AH19" s="10">
        <f ca="1" xml:space="preserve"> 'Invoice finance'!AH$21</f>
        <v>772200</v>
      </c>
      <c r="AI19" s="10">
        <f ca="1" xml:space="preserve"> 'Invoice finance'!AI$21</f>
        <v>869400</v>
      </c>
      <c r="AJ19" s="10">
        <f ca="1" xml:space="preserve"> 'Invoice finance'!AJ$21</f>
        <v>0</v>
      </c>
      <c r="AK19" s="10">
        <f ca="1" xml:space="preserve"> 'Invoice finance'!AK$21</f>
        <v>0</v>
      </c>
      <c r="AL19" s="10">
        <f ca="1" xml:space="preserve"> 'Invoice finance'!AL$21</f>
        <v>0</v>
      </c>
      <c r="AM19" s="10">
        <f ca="1" xml:space="preserve"> 'Invoice finance'!AM$21</f>
        <v>0</v>
      </c>
      <c r="AN19" s="10">
        <f ca="1" xml:space="preserve"> 'Invoice finance'!AN$21</f>
        <v>0</v>
      </c>
      <c r="AO19" s="10">
        <f ca="1" xml:space="preserve"> 'Invoice finance'!AO$21</f>
        <v>0</v>
      </c>
      <c r="AP19" s="10">
        <f ca="1" xml:space="preserve"> 'Invoice finance'!AP$21</f>
        <v>0</v>
      </c>
      <c r="AQ19" s="10">
        <f ca="1" xml:space="preserve"> 'Invoice finance'!AQ$21</f>
        <v>0</v>
      </c>
      <c r="AR19" s="10">
        <f ca="1" xml:space="preserve"> 'Invoice finance'!AR$21</f>
        <v>0</v>
      </c>
      <c r="AS19" s="10">
        <f ca="1" xml:space="preserve"> 'Invoice finance'!AS$21</f>
        <v>0</v>
      </c>
      <c r="AT19" s="10">
        <f ca="1" xml:space="preserve"> 'Invoice finance'!AT$21</f>
        <v>0</v>
      </c>
      <c r="AU19" s="10">
        <f ca="1" xml:space="preserve"> 'Invoice finance'!AU$21</f>
        <v>0</v>
      </c>
      <c r="AV19" s="10">
        <f ca="1" xml:space="preserve"> 'Invoice finance'!AV$21</f>
        <v>0</v>
      </c>
      <c r="AW19" s="10">
        <f ca="1" xml:space="preserve"> 'Invoice finance'!AW$21</f>
        <v>0</v>
      </c>
      <c r="AX19" s="10">
        <f ca="1" xml:space="preserve"> 'Invoice finance'!AX$21</f>
        <v>0</v>
      </c>
      <c r="AY19" s="10">
        <f ca="1" xml:space="preserve"> 'Invoice finance'!AY$21</f>
        <v>0</v>
      </c>
      <c r="AZ19" s="10">
        <f ca="1" xml:space="preserve"> 'Invoice finance'!AZ$21</f>
        <v>0</v>
      </c>
      <c r="BA19" s="10">
        <f ca="1" xml:space="preserve"> 'Invoice finance'!BA$21</f>
        <v>0</v>
      </c>
      <c r="BB19" s="10">
        <f ca="1" xml:space="preserve"> 'Invoice finance'!BB$21</f>
        <v>0</v>
      </c>
      <c r="BC19" s="10">
        <f ca="1" xml:space="preserve"> 'Invoice finance'!BC$21</f>
        <v>0</v>
      </c>
      <c r="BD19" s="10">
        <f ca="1" xml:space="preserve"> 'Invoice finance'!BD$21</f>
        <v>0</v>
      </c>
      <c r="BE19" s="10">
        <f ca="1" xml:space="preserve"> 'Invoice finance'!BE$21</f>
        <v>0</v>
      </c>
      <c r="BF19" s="10">
        <f ca="1" xml:space="preserve"> 'Invoice finance'!BF$21</f>
        <v>0</v>
      </c>
      <c r="BG19" s="10">
        <f ca="1" xml:space="preserve"> 'Invoice finance'!BG$21</f>
        <v>0</v>
      </c>
      <c r="BH19" s="10">
        <f ca="1" xml:space="preserve"> 'Invoice finance'!BH$21</f>
        <v>0</v>
      </c>
      <c r="BI19" s="10">
        <f ca="1" xml:space="preserve"> 'Invoice finance'!BI$21</f>
        <v>0</v>
      </c>
      <c r="BJ19" s="10">
        <f ca="1" xml:space="preserve"> 'Invoice finance'!BJ$21</f>
        <v>0</v>
      </c>
      <c r="BK19" s="10">
        <f ca="1" xml:space="preserve"> 'Invoice finance'!BK$21</f>
        <v>0</v>
      </c>
      <c r="BL19" s="10">
        <f ca="1" xml:space="preserve"> 'Invoice finance'!BL$21</f>
        <v>0</v>
      </c>
      <c r="BM19" s="10">
        <f ca="1" xml:space="preserve"> 'Invoice finance'!BM$21</f>
        <v>0</v>
      </c>
      <c r="BN19" s="10">
        <f ca="1" xml:space="preserve"> 'Invoice finance'!BN$21</f>
        <v>0</v>
      </c>
      <c r="BO19" s="10">
        <f ca="1" xml:space="preserve"> 'Invoice finance'!BO$21</f>
        <v>0</v>
      </c>
      <c r="BP19" s="10">
        <f ca="1" xml:space="preserve"> 'Invoice finance'!BP$21</f>
        <v>0</v>
      </c>
      <c r="BQ19" s="10">
        <f ca="1" xml:space="preserve"> 'Invoice finance'!BQ$21</f>
        <v>0</v>
      </c>
    </row>
    <row r="20" spans="5:6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'Invoice finance'!J$28</f>
        <v>0</v>
      </c>
      <c r="K20" s="10">
        <f ca="1">'Invoice finance'!K$28</f>
        <v>0</v>
      </c>
      <c r="L20" s="10">
        <f ca="1">'Invoice finance'!L$28</f>
        <v>0</v>
      </c>
      <c r="M20" s="10">
        <f ca="1">'Invoice finance'!M$28</f>
        <v>-27000</v>
      </c>
      <c r="N20" s="10">
        <f ca="1">'Invoice finance'!N$28</f>
        <v>-37800</v>
      </c>
      <c r="O20" s="10">
        <f ca="1">'Invoice finance'!O$28</f>
        <v>-48600</v>
      </c>
      <c r="P20" s="10">
        <f ca="1">'Invoice finance'!P$28</f>
        <v>-59400</v>
      </c>
      <c r="Q20" s="10">
        <f ca="1">'Invoice finance'!Q$28</f>
        <v>-81000</v>
      </c>
      <c r="R20" s="10">
        <f ca="1">'Invoice finance'!R$28</f>
        <v>-124200</v>
      </c>
      <c r="S20" s="10">
        <f ca="1">'Invoice finance'!S$28</f>
        <v>-156600</v>
      </c>
      <c r="T20" s="10">
        <f ca="1">'Invoice finance'!T$28</f>
        <v>-189000</v>
      </c>
      <c r="U20" s="10">
        <f ca="1">'Invoice finance'!U$28</f>
        <v>-189000</v>
      </c>
      <c r="V20" s="10">
        <f ca="1">'Invoice finance'!V$28</f>
        <v>-297000</v>
      </c>
      <c r="W20" s="10">
        <f ca="1">'Invoice finance'!W$28</f>
        <v>-297000</v>
      </c>
      <c r="X20" s="10">
        <f ca="1">'Invoice finance'!X$28</f>
        <v>-405000</v>
      </c>
      <c r="Y20" s="10">
        <f ca="1">'Invoice finance'!Y$28</f>
        <v>-483811.00709540193</v>
      </c>
      <c r="Z20" s="10">
        <f ca="1">'Invoice finance'!Z$28</f>
        <v>-513000</v>
      </c>
      <c r="AA20" s="10">
        <f ca="1">'Invoice finance'!AA$28</f>
        <v>-608641.1419142551</v>
      </c>
      <c r="AB20" s="10">
        <f ca="1">'Invoice finance'!AB$28</f>
        <v>-621000</v>
      </c>
      <c r="AC20" s="10">
        <f ca="1">'Invoice finance'!AC$28</f>
        <v>-621000</v>
      </c>
      <c r="AD20" s="10">
        <f ca="1">'Invoice finance'!AD$28</f>
        <v>-621000</v>
      </c>
      <c r="AE20" s="10">
        <f ca="1">'Invoice finance'!AE$28</f>
        <v>-621000</v>
      </c>
      <c r="AF20" s="10">
        <f ca="1">'Invoice finance'!AF$28</f>
        <v>-621000</v>
      </c>
      <c r="AG20" s="10">
        <f ca="1">'Invoice finance'!AG$28</f>
        <v>-621000</v>
      </c>
      <c r="AH20" s="10">
        <f ca="1">'Invoice finance'!AH$28</f>
        <v>-675000</v>
      </c>
      <c r="AI20" s="10">
        <f ca="1">'Invoice finance'!AI$28</f>
        <v>-729000</v>
      </c>
      <c r="AJ20" s="10">
        <f ca="1">'Invoice finance'!AJ$28</f>
        <v>-772200</v>
      </c>
      <c r="AK20" s="10">
        <f ca="1">'Invoice finance'!AK$28</f>
        <v>-869400</v>
      </c>
      <c r="AL20" s="10">
        <f ca="1">'Invoice finance'!AL$28</f>
        <v>0</v>
      </c>
      <c r="AM20" s="10">
        <f ca="1">'Invoice finance'!AM$28</f>
        <v>0</v>
      </c>
      <c r="AN20" s="10">
        <f ca="1">'Invoice finance'!AN$28</f>
        <v>0</v>
      </c>
      <c r="AO20" s="10">
        <f ca="1">'Invoice finance'!AO$28</f>
        <v>0</v>
      </c>
      <c r="AP20" s="10">
        <f ca="1">'Invoice finance'!AP$28</f>
        <v>0</v>
      </c>
      <c r="AQ20" s="10">
        <f ca="1">'Invoice finance'!AQ$28</f>
        <v>0</v>
      </c>
      <c r="AR20" s="10">
        <f ca="1">'Invoice finance'!AR$28</f>
        <v>0</v>
      </c>
      <c r="AS20" s="10">
        <f ca="1">'Invoice finance'!AS$28</f>
        <v>0</v>
      </c>
      <c r="AT20" s="10">
        <f ca="1">'Invoice finance'!AT$28</f>
        <v>0</v>
      </c>
      <c r="AU20" s="10">
        <f ca="1">'Invoice finance'!AU$28</f>
        <v>0</v>
      </c>
      <c r="AV20" s="10">
        <f ca="1">'Invoice finance'!AV$28</f>
        <v>0</v>
      </c>
      <c r="AW20" s="10">
        <f ca="1">'Invoice finance'!AW$28</f>
        <v>0</v>
      </c>
      <c r="AX20" s="10">
        <f ca="1">'Invoice finance'!AX$28</f>
        <v>0</v>
      </c>
      <c r="AY20" s="10">
        <f ca="1">'Invoice finance'!AY$28</f>
        <v>0</v>
      </c>
      <c r="AZ20" s="10">
        <f ca="1">'Invoice finance'!AZ$28</f>
        <v>0</v>
      </c>
      <c r="BA20" s="10">
        <f ca="1">'Invoice finance'!BA$28</f>
        <v>0</v>
      </c>
      <c r="BB20" s="10">
        <f ca="1">'Invoice finance'!BB$28</f>
        <v>0</v>
      </c>
      <c r="BC20" s="10">
        <f ca="1">'Invoice finance'!BC$28</f>
        <v>0</v>
      </c>
      <c r="BD20" s="10">
        <f ca="1">'Invoice finance'!BD$28</f>
        <v>0</v>
      </c>
      <c r="BE20" s="10">
        <f ca="1">'Invoice finance'!BE$28</f>
        <v>0</v>
      </c>
      <c r="BF20" s="10">
        <f ca="1">'Invoice finance'!BF$28</f>
        <v>0</v>
      </c>
      <c r="BG20" s="10">
        <f ca="1">'Invoice finance'!BG$28</f>
        <v>0</v>
      </c>
      <c r="BH20" s="10">
        <f ca="1">'Invoice finance'!BH$28</f>
        <v>0</v>
      </c>
      <c r="BI20" s="10">
        <f ca="1">'Invoice finance'!BI$28</f>
        <v>0</v>
      </c>
      <c r="BJ20" s="10">
        <f ca="1">'Invoice finance'!BJ$28</f>
        <v>0</v>
      </c>
      <c r="BK20" s="10">
        <f ca="1">'Invoice finance'!BK$28</f>
        <v>0</v>
      </c>
      <c r="BL20" s="10">
        <f ca="1">'Invoice finance'!BL$28</f>
        <v>0</v>
      </c>
      <c r="BM20" s="10">
        <f ca="1">'Invoice finance'!BM$28</f>
        <v>0</v>
      </c>
      <c r="BN20" s="10">
        <f ca="1">'Invoice finance'!BN$28</f>
        <v>0</v>
      </c>
      <c r="BO20" s="10">
        <f ca="1">'Invoice finance'!BO$28</f>
        <v>0</v>
      </c>
      <c r="BP20" s="10">
        <f ca="1">'Invoice finance'!BP$28</f>
        <v>0</v>
      </c>
      <c r="BQ20" s="10">
        <f ca="1">'Invoice finance'!BQ$28</f>
        <v>0</v>
      </c>
    </row>
    <row r="21" spans="5:6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'Asset Finance'!J$22</f>
        <v>0</v>
      </c>
      <c r="K21" s="10">
        <f ca="1" xml:space="preserve"> 'Asset Finance'!K$22</f>
        <v>175000</v>
      </c>
      <c r="L21" s="10">
        <f ca="1" xml:space="preserve"> 'Asset Finance'!L$22</f>
        <v>0</v>
      </c>
      <c r="M21" s="10">
        <f ca="1" xml:space="preserve"> 'Asset Finance'!M$22</f>
        <v>0</v>
      </c>
      <c r="N21" s="10">
        <f ca="1" xml:space="preserve"> 'Asset Finance'!N$22</f>
        <v>0</v>
      </c>
      <c r="O21" s="10">
        <f ca="1" xml:space="preserve"> 'Asset Finance'!O$22</f>
        <v>350000</v>
      </c>
      <c r="P21" s="10">
        <f ca="1" xml:space="preserve"> 'Asset Finance'!P$22</f>
        <v>0</v>
      </c>
      <c r="Q21" s="10">
        <f ca="1" xml:space="preserve"> 'Asset Finance'!Q$22</f>
        <v>0</v>
      </c>
      <c r="R21" s="10">
        <f ca="1" xml:space="preserve"> 'Asset Finance'!R$22</f>
        <v>0</v>
      </c>
      <c r="S21" s="10">
        <f ca="1" xml:space="preserve"> 'Asset Finance'!S$22</f>
        <v>350000</v>
      </c>
      <c r="T21" s="10">
        <f ca="1" xml:space="preserve"> 'Asset Finance'!T$22</f>
        <v>0</v>
      </c>
      <c r="U21" s="10">
        <f ca="1" xml:space="preserve"> 'Asset Finance'!U$22</f>
        <v>350000</v>
      </c>
      <c r="V21" s="10">
        <f ca="1" xml:space="preserve"> 'Asset Finance'!V$22</f>
        <v>350000</v>
      </c>
      <c r="W21" s="10">
        <f ca="1" xml:space="preserve"> 'Asset Finance'!W$22</f>
        <v>0</v>
      </c>
      <c r="X21" s="10">
        <f ca="1" xml:space="preserve"> 'Asset Finance'!X$22</f>
        <v>350000</v>
      </c>
      <c r="Y21" s="10">
        <f ca="1" xml:space="preserve"> 'Asset Finance'!Y$22</f>
        <v>0</v>
      </c>
      <c r="Z21" s="10">
        <f ca="1" xml:space="preserve"> 'Asset Finance'!Z$22</f>
        <v>0</v>
      </c>
      <c r="AA21" s="10">
        <f ca="1" xml:space="preserve"> 'Asset Finance'!AA$22</f>
        <v>0</v>
      </c>
      <c r="AB21" s="10">
        <f ca="1" xml:space="preserve"> 'Asset Finance'!AB$22</f>
        <v>0</v>
      </c>
      <c r="AC21" s="10">
        <f ca="1" xml:space="preserve"> 'Asset Finance'!AC$22</f>
        <v>0</v>
      </c>
      <c r="AD21" s="10">
        <f ca="1" xml:space="preserve"> 'Asset Finance'!AD$22</f>
        <v>0</v>
      </c>
      <c r="AE21" s="10">
        <f ca="1" xml:space="preserve"> 'Asset Finance'!AE$22</f>
        <v>175000</v>
      </c>
      <c r="AF21" s="10">
        <f ca="1" xml:space="preserve"> 'Asset Finance'!AF$22</f>
        <v>175000</v>
      </c>
      <c r="AG21" s="10">
        <f ca="1" xml:space="preserve"> 'Asset Finance'!AG$22</f>
        <v>175000</v>
      </c>
      <c r="AH21" s="10">
        <f ca="1" xml:space="preserve"> 'Asset Finance'!AH$22</f>
        <v>0</v>
      </c>
      <c r="AI21" s="10">
        <f ca="1" xml:space="preserve"> 'Asset Finance'!AI$22</f>
        <v>0</v>
      </c>
      <c r="AJ21" s="10">
        <f ca="1" xml:space="preserve"> 'Asset Finance'!AJ$22</f>
        <v>0</v>
      </c>
      <c r="AK21" s="10">
        <f ca="1" xml:space="preserve"> 'Asset Finance'!AK$22</f>
        <v>0</v>
      </c>
      <c r="AL21" s="10">
        <f ca="1" xml:space="preserve"> 'Asset Finance'!AL$22</f>
        <v>0</v>
      </c>
      <c r="AM21" s="10">
        <f ca="1" xml:space="preserve"> 'Asset Finance'!AM$22</f>
        <v>0</v>
      </c>
      <c r="AN21" s="10">
        <f ca="1" xml:space="preserve"> 'Asset Finance'!AN$22</f>
        <v>0</v>
      </c>
      <c r="AO21" s="10">
        <f ca="1" xml:space="preserve"> 'Asset Finance'!AO$22</f>
        <v>0</v>
      </c>
      <c r="AP21" s="10">
        <f ca="1" xml:space="preserve"> 'Asset Finance'!AP$22</f>
        <v>0</v>
      </c>
      <c r="AQ21" s="10">
        <f ca="1" xml:space="preserve"> 'Asset Finance'!AQ$22</f>
        <v>0</v>
      </c>
      <c r="AR21" s="10">
        <f ca="1" xml:space="preserve"> 'Asset Finance'!AR$22</f>
        <v>0</v>
      </c>
      <c r="AS21" s="10">
        <f ca="1" xml:space="preserve"> 'Asset Finance'!AS$22</f>
        <v>0</v>
      </c>
      <c r="AT21" s="10">
        <f ca="1" xml:space="preserve"> 'Asset Finance'!AT$22</f>
        <v>0</v>
      </c>
      <c r="AU21" s="10">
        <f ca="1" xml:space="preserve"> 'Asset Finance'!AU$22</f>
        <v>0</v>
      </c>
      <c r="AV21" s="10">
        <f ca="1" xml:space="preserve"> 'Asset Finance'!AV$22</f>
        <v>0</v>
      </c>
      <c r="AW21" s="10">
        <f ca="1" xml:space="preserve"> 'Asset Finance'!AW$22</f>
        <v>0</v>
      </c>
      <c r="AX21" s="10">
        <f ca="1" xml:space="preserve"> 'Asset Finance'!AX$22</f>
        <v>0</v>
      </c>
      <c r="AY21" s="10">
        <f ca="1" xml:space="preserve"> 'Asset Finance'!AY$22</f>
        <v>0</v>
      </c>
      <c r="AZ21" s="10">
        <f ca="1" xml:space="preserve"> 'Asset Finance'!AZ$22</f>
        <v>0</v>
      </c>
      <c r="BA21" s="10">
        <f ca="1" xml:space="preserve"> 'Asset Finance'!BA$22</f>
        <v>0</v>
      </c>
      <c r="BB21" s="10">
        <f ca="1" xml:space="preserve"> 'Asset Finance'!BB$22</f>
        <v>0</v>
      </c>
      <c r="BC21" s="10">
        <f ca="1" xml:space="preserve"> 'Asset Finance'!BC$22</f>
        <v>0</v>
      </c>
      <c r="BD21" s="10">
        <f ca="1" xml:space="preserve"> 'Asset Finance'!BD$22</f>
        <v>0</v>
      </c>
      <c r="BE21" s="10">
        <f ca="1" xml:space="preserve"> 'Asset Finance'!BE$22</f>
        <v>0</v>
      </c>
      <c r="BF21" s="10">
        <f ca="1" xml:space="preserve"> 'Asset Finance'!BF$22</f>
        <v>0</v>
      </c>
      <c r="BG21" s="10">
        <f ca="1" xml:space="preserve"> 'Asset Finance'!BG$22</f>
        <v>0</v>
      </c>
      <c r="BH21" s="10">
        <f ca="1" xml:space="preserve"> 'Asset Finance'!BH$22</f>
        <v>0</v>
      </c>
      <c r="BI21" s="10">
        <f ca="1" xml:space="preserve"> 'Asset Finance'!BI$22</f>
        <v>0</v>
      </c>
      <c r="BJ21" s="10">
        <f ca="1" xml:space="preserve"> 'Asset Finance'!BJ$22</f>
        <v>0</v>
      </c>
      <c r="BK21" s="10">
        <f ca="1" xml:space="preserve"> 'Asset Finance'!BK$22</f>
        <v>0</v>
      </c>
      <c r="BL21" s="10">
        <f ca="1" xml:space="preserve"> 'Asset Finance'!BL$22</f>
        <v>0</v>
      </c>
      <c r="BM21" s="10">
        <f ca="1" xml:space="preserve"> 'Asset Finance'!BM$22</f>
        <v>0</v>
      </c>
      <c r="BN21" s="10">
        <f ca="1" xml:space="preserve"> 'Asset Finance'!BN$22</f>
        <v>0</v>
      </c>
      <c r="BO21" s="10">
        <f ca="1" xml:space="preserve"> 'Asset Finance'!BO$22</f>
        <v>0</v>
      </c>
      <c r="BP21" s="10">
        <f ca="1" xml:space="preserve"> 'Asset Finance'!BP$22</f>
        <v>0</v>
      </c>
      <c r="BQ21" s="10">
        <f ca="1" xml:space="preserve"> 'Asset Finance'!BQ$22</f>
        <v>0</v>
      </c>
    </row>
    <row r="22" spans="5:6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'Asset Finance'!J$29</f>
        <v>0</v>
      </c>
      <c r="K22" s="10">
        <f ca="1">'Asset Finance'!K$29</f>
        <v>0</v>
      </c>
      <c r="L22" s="10">
        <f ca="1">'Asset Finance'!L$29</f>
        <v>-7291.666666666667</v>
      </c>
      <c r="M22" s="10">
        <f ca="1">'Asset Finance'!M$29</f>
        <v>-6987.8472222222226</v>
      </c>
      <c r="N22" s="10">
        <f ca="1">'Asset Finance'!N$29</f>
        <v>-6696.6869212962965</v>
      </c>
      <c r="O22" s="10">
        <f ca="1">'Asset Finance'!O$29</f>
        <v>-6417.658299575618</v>
      </c>
      <c r="P22" s="10">
        <f ca="1">'Asset Finance'!P$29</f>
        <v>-20733.589203759966</v>
      </c>
      <c r="Q22" s="10">
        <f ca="1">'Asset Finance'!Q$29</f>
        <v>-19869.689653603302</v>
      </c>
      <c r="R22" s="10">
        <f ca="1">'Asset Finance'!R$29</f>
        <v>-19041.785918036498</v>
      </c>
      <c r="S22" s="10">
        <f ca="1">'Asset Finance'!S$29</f>
        <v>-18248.378171451644</v>
      </c>
      <c r="T22" s="10">
        <f ca="1">'Asset Finance'!T$29</f>
        <v>-32071.362414307823</v>
      </c>
      <c r="U22" s="10">
        <f ca="1">'Asset Finance'!U$29</f>
        <v>-30735.055647044999</v>
      </c>
      <c r="V22" s="10">
        <f ca="1">'Asset Finance'!V$29</f>
        <v>-44037.761661751465</v>
      </c>
      <c r="W22" s="10">
        <f ca="1">'Asset Finance'!W$29</f>
        <v>-56786.188259178489</v>
      </c>
      <c r="X22" s="10">
        <f ca="1">'Asset Finance'!X$29</f>
        <v>-54420.097081712716</v>
      </c>
      <c r="Y22" s="10">
        <f ca="1">'Asset Finance'!Y$29</f>
        <v>-66735.926369974695</v>
      </c>
      <c r="Z22" s="10">
        <f ca="1">'Asset Finance'!Z$29</f>
        <v>-63955.262771225745</v>
      </c>
      <c r="AA22" s="10">
        <f ca="1">'Asset Finance'!AA$29</f>
        <v>-61290.46015575801</v>
      </c>
      <c r="AB22" s="10">
        <f ca="1">'Asset Finance'!AB$29</f>
        <v>-58736.690982601423</v>
      </c>
      <c r="AC22" s="10">
        <f ca="1">'Asset Finance'!AC$29</f>
        <v>-56289.328858326364</v>
      </c>
      <c r="AD22" s="10">
        <f ca="1">'Asset Finance'!AD$29</f>
        <v>-53943.940155896096</v>
      </c>
      <c r="AE22" s="10">
        <f ca="1">'Asset Finance'!AE$29</f>
        <v>-51696.275982733758</v>
      </c>
      <c r="AF22" s="10">
        <f ca="1">'Asset Finance'!AF$29</f>
        <v>-56833.931150119846</v>
      </c>
      <c r="AG22" s="10">
        <f ca="1">'Asset Finance'!AG$29</f>
        <v>-61757.517352198192</v>
      </c>
      <c r="AH22" s="10">
        <f ca="1">'Asset Finance'!AH$29</f>
        <v>-66475.954129189937</v>
      </c>
      <c r="AI22" s="10">
        <f ca="1">'Asset Finance'!AI$29</f>
        <v>-63706.122707140348</v>
      </c>
      <c r="AJ22" s="10">
        <f ca="1">'Asset Finance'!AJ$29</f>
        <v>-61051.700927676167</v>
      </c>
      <c r="AK22" s="10">
        <f ca="1">'Asset Finance'!AK$29</f>
        <v>-58507.88005568966</v>
      </c>
      <c r="AL22" s="10">
        <f ca="1">'Asset Finance'!AL$29</f>
        <v>-56070.051720035925</v>
      </c>
      <c r="AM22" s="10">
        <f ca="1">'Asset Finance'!AM$29</f>
        <v>-53733.799565034424</v>
      </c>
      <c r="AN22" s="10">
        <f ca="1">'Asset Finance'!AN$29</f>
        <v>-51494.891249824657</v>
      </c>
      <c r="AO22" s="10">
        <f ca="1">'Asset Finance'!AO$29</f>
        <v>-49349.270781081963</v>
      </c>
      <c r="AP22" s="10">
        <f ca="1">'Asset Finance'!AP$29</f>
        <v>-47293.051165203557</v>
      </c>
      <c r="AQ22" s="10">
        <f ca="1">'Asset Finance'!AQ$29</f>
        <v>-45322.507366653408</v>
      </c>
      <c r="AR22" s="10">
        <f ca="1">'Asset Finance'!AR$29</f>
        <v>-43434.069559709511</v>
      </c>
      <c r="AS22" s="10">
        <f ca="1">'Asset Finance'!AS$29</f>
        <v>-41624.316661388286</v>
      </c>
      <c r="AT22" s="10">
        <f ca="1">'Asset Finance'!AT$29</f>
        <v>-39889.970133830437</v>
      </c>
      <c r="AU22" s="10">
        <f ca="1">'Asset Finance'!AU$29</f>
        <v>-38227.888044920837</v>
      </c>
      <c r="AV22" s="10">
        <f ca="1">'Asset Finance'!AV$29</f>
        <v>-36635.059376382465</v>
      </c>
      <c r="AW22" s="10">
        <f ca="1">'Asset Finance'!AW$29</f>
        <v>-35108.598569033195</v>
      </c>
      <c r="AX22" s="10">
        <f ca="1">'Asset Finance'!AX$29</f>
        <v>-33645.740295323478</v>
      </c>
      <c r="AY22" s="10">
        <f ca="1">'Asset Finance'!AY$29</f>
        <v>-32243.834449685004</v>
      </c>
      <c r="AZ22" s="10">
        <f ca="1">'Asset Finance'!AZ$29</f>
        <v>-30900.341347614798</v>
      </c>
      <c r="BA22" s="10">
        <f ca="1">'Asset Finance'!BA$29</f>
        <v>-29612.827124797517</v>
      </c>
      <c r="BB22" s="10">
        <f ca="1">'Asset Finance'!BB$29</f>
        <v>-28378.959327930952</v>
      </c>
      <c r="BC22" s="10">
        <f ca="1">'Asset Finance'!BC$29</f>
        <v>-27196.502689267163</v>
      </c>
      <c r="BD22" s="10">
        <f ca="1">'Asset Finance'!BD$29</f>
        <v>-26063.315077214367</v>
      </c>
      <c r="BE22" s="10">
        <f ca="1">'Asset Finance'!BE$29</f>
        <v>-24977.343615663765</v>
      </c>
      <c r="BF22" s="10">
        <f ca="1">'Asset Finance'!BF$29</f>
        <v>-23936.620965011109</v>
      </c>
      <c r="BG22" s="10">
        <f ca="1">'Asset Finance'!BG$29</f>
        <v>-22939.261758135646</v>
      </c>
      <c r="BH22" s="10">
        <f ca="1">'Asset Finance'!BH$29</f>
        <v>-21983.459184879994</v>
      </c>
      <c r="BI22" s="10">
        <f ca="1">'Asset Finance'!BI$29</f>
        <v>-21067.481718843326</v>
      </c>
      <c r="BJ22" s="10">
        <f ca="1">'Asset Finance'!BJ$29</f>
        <v>-20189.669980558188</v>
      </c>
      <c r="BK22" s="10">
        <f ca="1">'Asset Finance'!BK$29</f>
        <v>-19348.433731368263</v>
      </c>
      <c r="BL22" s="10">
        <f ca="1">'Asset Finance'!BL$29</f>
        <v>-18542.24899256125</v>
      </c>
      <c r="BM22" s="10">
        <f ca="1">'Asset Finance'!BM$29</f>
        <v>-17769.655284537865</v>
      </c>
      <c r="BN22" s="10">
        <f ca="1">'Asset Finance'!BN$29</f>
        <v>-17029.252981015456</v>
      </c>
      <c r="BO22" s="10">
        <f ca="1">'Asset Finance'!BO$29</f>
        <v>-16319.700773473143</v>
      </c>
      <c r="BP22" s="10">
        <f ca="1">'Asset Finance'!BP$29</f>
        <v>-15639.713241245096</v>
      </c>
      <c r="BQ22" s="10">
        <f ca="1">'Asset Finance'!BQ$29</f>
        <v>-14988.058522859885</v>
      </c>
    </row>
    <row r="23" spans="5:6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'Supply Chain finance'!J$48</f>
        <v>0</v>
      </c>
      <c r="K23" s="10">
        <f ca="1">'Supply Chain finance'!K$48</f>
        <v>0</v>
      </c>
      <c r="L23" s="10">
        <f ca="1">'Supply Chain finance'!L$48</f>
        <v>0</v>
      </c>
      <c r="M23" s="10">
        <f ca="1">'Supply Chain finance'!M$48</f>
        <v>-1866.6666666666667</v>
      </c>
      <c r="N23" s="10">
        <f ca="1">'Supply Chain finance'!N$48</f>
        <v>-3733.3333333333335</v>
      </c>
      <c r="O23" s="10">
        <f ca="1">'Supply Chain finance'!O$48</f>
        <v>-5600</v>
      </c>
      <c r="P23" s="10">
        <f ca="1">'Supply Chain finance'!P$48</f>
        <v>-5600</v>
      </c>
      <c r="Q23" s="10">
        <f ca="1">'Supply Chain finance'!Q$48</f>
        <v>-7466.666666666667</v>
      </c>
      <c r="R23" s="10">
        <f ca="1">'Supply Chain finance'!R$48</f>
        <v>-7466.666666666667</v>
      </c>
      <c r="S23" s="10">
        <f ca="1">'Supply Chain finance'!S$48</f>
        <v>-7466.666666666667</v>
      </c>
      <c r="T23" s="10">
        <f ca="1">'Supply Chain finance'!T$48</f>
        <v>-5600</v>
      </c>
      <c r="U23" s="10">
        <f ca="1">'Supply Chain finance'!U$48</f>
        <v>-3733.3333333333335</v>
      </c>
      <c r="V23" s="10">
        <f ca="1">'Supply Chain finance'!V$48</f>
        <v>-3733.3333333333335</v>
      </c>
      <c r="W23" s="10">
        <f ca="1">'Supply Chain finance'!W$48</f>
        <v>-1866.6666666666667</v>
      </c>
      <c r="X23" s="10">
        <f ca="1">'Supply Chain finance'!X$48</f>
        <v>-1866.6666666666667</v>
      </c>
      <c r="Y23" s="10">
        <f ca="1">'Supply Chain finance'!Y$48</f>
        <v>0</v>
      </c>
      <c r="Z23" s="10">
        <f ca="1">'Supply Chain finance'!Z$48</f>
        <v>-933.33333333333337</v>
      </c>
      <c r="AA23" s="10">
        <f ca="1">'Supply Chain finance'!AA$48</f>
        <v>-1866.6666666666667</v>
      </c>
      <c r="AB23" s="10">
        <f ca="1">'Supply Chain finance'!AB$48</f>
        <v>-2800</v>
      </c>
      <c r="AC23" s="10">
        <f ca="1">'Supply Chain finance'!AC$48</f>
        <v>-4666.666666666667</v>
      </c>
      <c r="AD23" s="10">
        <f ca="1">'Supply Chain finance'!AD$48</f>
        <v>-6533.3333333333339</v>
      </c>
      <c r="AE23" s="10">
        <f ca="1">'Supply Chain finance'!AE$48</f>
        <v>-7466.666666666667</v>
      </c>
      <c r="AF23" s="10">
        <f ca="1">'Supply Chain finance'!AF$48</f>
        <v>-8400</v>
      </c>
      <c r="AG23" s="10">
        <f ca="1">'Supply Chain finance'!AG$48</f>
        <v>-9333.3333333333339</v>
      </c>
      <c r="AH23" s="10">
        <f ca="1">'Supply Chain finance'!AH$48</f>
        <v>-10266.666666666668</v>
      </c>
      <c r="AI23" s="10">
        <f ca="1">'Supply Chain finance'!AI$48</f>
        <v>-10266.666666666668</v>
      </c>
      <c r="AJ23" s="10">
        <f ca="1">'Supply Chain finance'!AJ$48</f>
        <v>-11200</v>
      </c>
      <c r="AK23" s="10">
        <f ca="1">'Supply Chain finance'!AK$48</f>
        <v>-10266.666666666668</v>
      </c>
      <c r="AL23" s="10">
        <f ca="1">'Supply Chain finance'!AL$48</f>
        <v>-8400</v>
      </c>
      <c r="AM23" s="10">
        <f ca="1">'Supply Chain finance'!AM$48</f>
        <v>-6533.3333333333339</v>
      </c>
      <c r="AN23" s="10">
        <f ca="1">'Supply Chain finance'!AN$48</f>
        <v>-4666.666666666667</v>
      </c>
      <c r="AO23" s="10">
        <f ca="1">'Supply Chain finance'!AO$48</f>
        <v>-2800</v>
      </c>
      <c r="AP23" s="10">
        <f ca="1">'Supply Chain finance'!AP$48</f>
        <v>0</v>
      </c>
      <c r="AQ23" s="10">
        <f ca="1">'Supply Chain finance'!AQ$48</f>
        <v>0</v>
      </c>
      <c r="AR23" s="10">
        <f ca="1">'Supply Chain finance'!AR$48</f>
        <v>0</v>
      </c>
      <c r="AS23" s="10">
        <f ca="1">'Supply Chain finance'!AS$48</f>
        <v>0</v>
      </c>
      <c r="AT23" s="10">
        <f ca="1">'Supply Chain finance'!AT$48</f>
        <v>0</v>
      </c>
      <c r="AU23" s="10">
        <f ca="1">'Supply Chain finance'!AU$48</f>
        <v>0</v>
      </c>
      <c r="AV23" s="10">
        <f ca="1">'Supply Chain finance'!AV$48</f>
        <v>0</v>
      </c>
      <c r="AW23" s="10">
        <f ca="1">'Supply Chain finance'!AW$48</f>
        <v>0</v>
      </c>
      <c r="AX23" s="10">
        <f ca="1">'Supply Chain finance'!AX$48</f>
        <v>0</v>
      </c>
      <c r="AY23" s="10">
        <f ca="1">'Supply Chain finance'!AY$48</f>
        <v>0</v>
      </c>
      <c r="AZ23" s="10">
        <f ca="1">'Supply Chain finance'!AZ$48</f>
        <v>0</v>
      </c>
      <c r="BA23" s="10">
        <f ca="1">'Supply Chain finance'!BA$48</f>
        <v>0</v>
      </c>
      <c r="BB23" s="10">
        <f ca="1">'Supply Chain finance'!BB$48</f>
        <v>0</v>
      </c>
      <c r="BC23" s="10">
        <f ca="1">'Supply Chain finance'!BC$48</f>
        <v>0</v>
      </c>
      <c r="BD23" s="10">
        <f ca="1">'Supply Chain finance'!BD$48</f>
        <v>0</v>
      </c>
      <c r="BE23" s="10">
        <f ca="1">'Supply Chain finance'!BE$48</f>
        <v>0</v>
      </c>
      <c r="BF23" s="10">
        <f ca="1">'Supply Chain finance'!BF$48</f>
        <v>0</v>
      </c>
      <c r="BG23" s="10">
        <f ca="1">'Supply Chain finance'!BG$48</f>
        <v>0</v>
      </c>
      <c r="BH23" s="10">
        <f ca="1">'Supply Chain finance'!BH$48</f>
        <v>0</v>
      </c>
      <c r="BI23" s="10">
        <f ca="1">'Supply Chain finance'!BI$48</f>
        <v>0</v>
      </c>
      <c r="BJ23" s="10">
        <f ca="1">'Supply Chain finance'!BJ$48</f>
        <v>0</v>
      </c>
      <c r="BK23" s="10">
        <f ca="1">'Supply Chain finance'!BK$48</f>
        <v>0</v>
      </c>
      <c r="BL23" s="10">
        <f ca="1">'Supply Chain finance'!BL$48</f>
        <v>0</v>
      </c>
      <c r="BM23" s="10">
        <f ca="1">'Supply Chain finance'!BM$48</f>
        <v>0</v>
      </c>
      <c r="BN23" s="10">
        <f ca="1">'Supply Chain finance'!BN$48</f>
        <v>0</v>
      </c>
      <c r="BO23" s="10">
        <f ca="1">'Supply Chain finance'!BO$48</f>
        <v>0</v>
      </c>
      <c r="BP23" s="10">
        <f ca="1">'Supply Chain finance'!BP$48</f>
        <v>0</v>
      </c>
      <c r="BQ23" s="10">
        <f ca="1">'Supply Chain finance'!BQ$48</f>
        <v>0</v>
      </c>
    </row>
    <row r="24" spans="5:6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'Invoice finance'!J$47</f>
        <v>0</v>
      </c>
      <c r="K24" s="10">
        <f ca="1">'Invoice finance'!K$47</f>
        <v>0</v>
      </c>
      <c r="L24" s="10">
        <f ca="1">'Invoice finance'!L$47</f>
        <v>-225</v>
      </c>
      <c r="M24" s="10">
        <f ca="1">'Invoice finance'!M$47</f>
        <v>-540</v>
      </c>
      <c r="N24" s="10">
        <f ca="1">'Invoice finance'!N$47</f>
        <v>-720</v>
      </c>
      <c r="O24" s="10">
        <f ca="1">'Invoice finance'!O$47</f>
        <v>-900</v>
      </c>
      <c r="P24" s="10">
        <f ca="1">'Invoice finance'!P$47</f>
        <v>-1170</v>
      </c>
      <c r="Q24" s="10">
        <f ca="1">'Invoice finance'!Q$47</f>
        <v>-1710</v>
      </c>
      <c r="R24" s="10">
        <f ca="1">'Invoice finance'!R$47</f>
        <v>-2340</v>
      </c>
      <c r="S24" s="10">
        <f ca="1">'Invoice finance'!S$47</f>
        <v>-2880</v>
      </c>
      <c r="T24" s="10">
        <f ca="1">'Invoice finance'!T$47</f>
        <v>-3150</v>
      </c>
      <c r="U24" s="10">
        <f ca="1">'Invoice finance'!U$47</f>
        <v>-4050</v>
      </c>
      <c r="V24" s="10">
        <f ca="1">'Invoice finance'!V$47</f>
        <v>-4950</v>
      </c>
      <c r="W24" s="10">
        <f ca="1">'Invoice finance'!W$47</f>
        <v>-5850</v>
      </c>
      <c r="X24" s="10">
        <f ca="1">'Invoice finance'!X$47</f>
        <v>-7406.758392461682</v>
      </c>
      <c r="Y24" s="10">
        <f ca="1">'Invoice finance'!Y$47</f>
        <v>-8306.7583924616829</v>
      </c>
      <c r="Z24" s="10">
        <f ca="1">'Invoice finance'!Z$47</f>
        <v>-9347.0095159521261</v>
      </c>
      <c r="AA24" s="10">
        <f ca="1">'Invoice finance'!AA$47</f>
        <v>-10247.009515952126</v>
      </c>
      <c r="AB24" s="10">
        <f ca="1">'Invoice finance'!AB$47</f>
        <v>-10350</v>
      </c>
      <c r="AC24" s="10">
        <f ca="1">'Invoice finance'!AC$47</f>
        <v>-10350</v>
      </c>
      <c r="AD24" s="10">
        <f ca="1">'Invoice finance'!AD$47</f>
        <v>-10350</v>
      </c>
      <c r="AE24" s="10">
        <f ca="1">'Invoice finance'!AE$47</f>
        <v>-10350</v>
      </c>
      <c r="AF24" s="10">
        <f ca="1">'Invoice finance'!AF$47</f>
        <v>-10350</v>
      </c>
      <c r="AG24" s="10">
        <f ca="1">'Invoice finance'!AG$47</f>
        <v>-10800</v>
      </c>
      <c r="AH24" s="10">
        <f ca="1">'Invoice finance'!AH$47</f>
        <v>-11700</v>
      </c>
      <c r="AI24" s="10">
        <f ca="1">'Invoice finance'!AI$47</f>
        <v>-12510</v>
      </c>
      <c r="AJ24" s="10">
        <f ca="1">'Invoice finance'!AJ$47</f>
        <v>-13680</v>
      </c>
      <c r="AK24" s="10">
        <f ca="1">'Invoice finance'!AK$47</f>
        <v>-7245</v>
      </c>
      <c r="AL24" s="10">
        <f ca="1">'Invoice finance'!AL$47</f>
        <v>0</v>
      </c>
      <c r="AM24" s="10">
        <f ca="1">'Invoice finance'!AM$47</f>
        <v>0</v>
      </c>
      <c r="AN24" s="10">
        <f ca="1">'Invoice finance'!AN$47</f>
        <v>0</v>
      </c>
      <c r="AO24" s="10">
        <f ca="1">'Invoice finance'!AO$47</f>
        <v>0</v>
      </c>
      <c r="AP24" s="10">
        <f ca="1">'Invoice finance'!AP$47</f>
        <v>0</v>
      </c>
      <c r="AQ24" s="10">
        <f ca="1">'Invoice finance'!AQ$47</f>
        <v>0</v>
      </c>
      <c r="AR24" s="10">
        <f ca="1">'Invoice finance'!AR$47</f>
        <v>0</v>
      </c>
      <c r="AS24" s="10">
        <f ca="1">'Invoice finance'!AS$47</f>
        <v>0</v>
      </c>
      <c r="AT24" s="10">
        <f ca="1">'Invoice finance'!AT$47</f>
        <v>0</v>
      </c>
      <c r="AU24" s="10">
        <f ca="1">'Invoice finance'!AU$47</f>
        <v>0</v>
      </c>
      <c r="AV24" s="10">
        <f ca="1">'Invoice finance'!AV$47</f>
        <v>0</v>
      </c>
      <c r="AW24" s="10">
        <f ca="1">'Invoice finance'!AW$47</f>
        <v>0</v>
      </c>
      <c r="AX24" s="10">
        <f ca="1">'Invoice finance'!AX$47</f>
        <v>0</v>
      </c>
      <c r="AY24" s="10">
        <f ca="1">'Invoice finance'!AY$47</f>
        <v>0</v>
      </c>
      <c r="AZ24" s="10">
        <f ca="1">'Invoice finance'!AZ$47</f>
        <v>0</v>
      </c>
      <c r="BA24" s="10">
        <f ca="1">'Invoice finance'!BA$47</f>
        <v>0</v>
      </c>
      <c r="BB24" s="10">
        <f ca="1">'Invoice finance'!BB$47</f>
        <v>0</v>
      </c>
      <c r="BC24" s="10">
        <f ca="1">'Invoice finance'!BC$47</f>
        <v>0</v>
      </c>
      <c r="BD24" s="10">
        <f ca="1">'Invoice finance'!BD$47</f>
        <v>0</v>
      </c>
      <c r="BE24" s="10">
        <f ca="1">'Invoice finance'!BE$47</f>
        <v>0</v>
      </c>
      <c r="BF24" s="10">
        <f ca="1">'Invoice finance'!BF$47</f>
        <v>0</v>
      </c>
      <c r="BG24" s="10">
        <f ca="1">'Invoice finance'!BG$47</f>
        <v>0</v>
      </c>
      <c r="BH24" s="10">
        <f ca="1">'Invoice finance'!BH$47</f>
        <v>0</v>
      </c>
      <c r="BI24" s="10">
        <f ca="1">'Invoice finance'!BI$47</f>
        <v>0</v>
      </c>
      <c r="BJ24" s="10">
        <f ca="1">'Invoice finance'!BJ$47</f>
        <v>0</v>
      </c>
      <c r="BK24" s="10">
        <f ca="1">'Invoice finance'!BK$47</f>
        <v>0</v>
      </c>
      <c r="BL24" s="10">
        <f ca="1">'Invoice finance'!BL$47</f>
        <v>0</v>
      </c>
      <c r="BM24" s="10">
        <f ca="1">'Invoice finance'!BM$47</f>
        <v>0</v>
      </c>
      <c r="BN24" s="10">
        <f ca="1">'Invoice finance'!BN$47</f>
        <v>0</v>
      </c>
      <c r="BO24" s="10">
        <f ca="1">'Invoice finance'!BO$47</f>
        <v>0</v>
      </c>
      <c r="BP24" s="10">
        <f ca="1">'Invoice finance'!BP$47</f>
        <v>0</v>
      </c>
      <c r="BQ24" s="10">
        <f ca="1">'Invoice finance'!BQ$47</f>
        <v>0</v>
      </c>
    </row>
    <row r="25" spans="5:6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'Asset Finance'!J$48</f>
        <v>0</v>
      </c>
      <c r="K25" s="10">
        <f ca="1">'Asset Finance'!K$48</f>
        <v>0</v>
      </c>
      <c r="L25" s="10">
        <f ca="1">'Asset Finance'!L$48</f>
        <v>-1166.6666666666667</v>
      </c>
      <c r="M25" s="10">
        <f ca="1">'Asset Finance'!M$48</f>
        <v>-1118.0555555555557</v>
      </c>
      <c r="N25" s="10">
        <f ca="1">'Asset Finance'!N$48</f>
        <v>-1071.4699074074076</v>
      </c>
      <c r="O25" s="10">
        <f ca="1">'Asset Finance'!O$48</f>
        <v>-1026.8253279320988</v>
      </c>
      <c r="P25" s="10">
        <f ca="1">'Asset Finance'!P$48</f>
        <v>-3317.3742726015948</v>
      </c>
      <c r="Q25" s="10">
        <f ca="1">'Asset Finance'!Q$48</f>
        <v>-3179.1503445765284</v>
      </c>
      <c r="R25" s="10">
        <f ca="1">'Asset Finance'!R$48</f>
        <v>-3046.6857468858398</v>
      </c>
      <c r="S25" s="10">
        <f ca="1">'Asset Finance'!S$48</f>
        <v>-2919.7405074322633</v>
      </c>
      <c r="T25" s="10">
        <f ca="1">'Asset Finance'!T$48</f>
        <v>-5131.4179862892524</v>
      </c>
      <c r="U25" s="10">
        <f ca="1">'Asset Finance'!U$48</f>
        <v>-4917.6089035272007</v>
      </c>
      <c r="V25" s="10">
        <f ca="1">'Asset Finance'!V$48</f>
        <v>-7046.0418658802355</v>
      </c>
      <c r="W25" s="10">
        <f ca="1">'Asset Finance'!W$48</f>
        <v>-9085.7901214685589</v>
      </c>
      <c r="X25" s="10">
        <f ca="1">'Asset Finance'!X$48</f>
        <v>-8707.2155330740352</v>
      </c>
      <c r="Y25" s="10">
        <f ca="1">'Asset Finance'!Y$48</f>
        <v>-10677.748219195952</v>
      </c>
      <c r="Z25" s="10">
        <f ca="1">'Asset Finance'!Z$48</f>
        <v>-10232.84204339612</v>
      </c>
      <c r="AA25" s="10">
        <f ca="1">'Asset Finance'!AA$48</f>
        <v>-9806.473624921282</v>
      </c>
      <c r="AB25" s="10">
        <f ca="1">'Asset Finance'!AB$48</f>
        <v>-9397.8705572162271</v>
      </c>
      <c r="AC25" s="10">
        <f ca="1">'Asset Finance'!AC$48</f>
        <v>-9006.2926173322194</v>
      </c>
      <c r="AD25" s="10">
        <f ca="1">'Asset Finance'!AD$48</f>
        <v>-8631.0304249433757</v>
      </c>
      <c r="AE25" s="10">
        <f ca="1">'Asset Finance'!AE$48</f>
        <v>-8271.4041572374026</v>
      </c>
      <c r="AF25" s="10">
        <f ca="1">'Asset Finance'!AF$48</f>
        <v>-9093.4289840191759</v>
      </c>
      <c r="AG25" s="10">
        <f ca="1">'Asset Finance'!AG$48</f>
        <v>-9881.2027763517108</v>
      </c>
      <c r="AH25" s="10">
        <f ca="1">'Asset Finance'!AH$48</f>
        <v>-10636.15266067039</v>
      </c>
      <c r="AI25" s="10">
        <f ca="1">'Asset Finance'!AI$48</f>
        <v>-10192.979633142457</v>
      </c>
      <c r="AJ25" s="10">
        <f ca="1">'Asset Finance'!AJ$48</f>
        <v>-9768.2721484281883</v>
      </c>
      <c r="AK25" s="10">
        <f ca="1">'Asset Finance'!AK$48</f>
        <v>-9361.2608089103469</v>
      </c>
      <c r="AL25" s="10">
        <f ca="1">'Asset Finance'!AL$48</f>
        <v>-8971.2082752057486</v>
      </c>
      <c r="AM25" s="10">
        <f ca="1">'Asset Finance'!AM$48</f>
        <v>-8597.4079304055085</v>
      </c>
      <c r="AN25" s="10">
        <f ca="1">'Asset Finance'!AN$48</f>
        <v>-8239.1825999719458</v>
      </c>
      <c r="AO25" s="10">
        <f ca="1">'Asset Finance'!AO$48</f>
        <v>-7895.8833249731151</v>
      </c>
      <c r="AP25" s="10">
        <f ca="1">'Asset Finance'!AP$48</f>
        <v>-7566.8881864325695</v>
      </c>
      <c r="AQ25" s="10">
        <f ca="1">'Asset Finance'!AQ$48</f>
        <v>-7251.6011786645449</v>
      </c>
      <c r="AR25" s="10">
        <f ca="1">'Asset Finance'!AR$48</f>
        <v>-6949.4511295535222</v>
      </c>
      <c r="AS25" s="10">
        <f ca="1">'Asset Finance'!AS$48</f>
        <v>-6659.8906658221258</v>
      </c>
      <c r="AT25" s="10">
        <f ca="1">'Asset Finance'!AT$48</f>
        <v>-6382.3952214128703</v>
      </c>
      <c r="AU25" s="10">
        <f ca="1">'Asset Finance'!AU$48</f>
        <v>-6116.462087187334</v>
      </c>
      <c r="AV25" s="10">
        <f ca="1">'Asset Finance'!AV$48</f>
        <v>-5861.609500221195</v>
      </c>
      <c r="AW25" s="10">
        <f ca="1">'Asset Finance'!AW$48</f>
        <v>-5617.3757710453119</v>
      </c>
      <c r="AX25" s="10">
        <f ca="1">'Asset Finance'!AX$48</f>
        <v>-5383.3184472517569</v>
      </c>
      <c r="AY25" s="10">
        <f ca="1">'Asset Finance'!AY$48</f>
        <v>-5159.0135119496008</v>
      </c>
      <c r="AZ25" s="10">
        <f ca="1">'Asset Finance'!AZ$48</f>
        <v>-4944.0546156183682</v>
      </c>
      <c r="BA25" s="10">
        <f ca="1">'Asset Finance'!BA$48</f>
        <v>-4738.0523399676031</v>
      </c>
      <c r="BB25" s="10">
        <f ca="1">'Asset Finance'!BB$48</f>
        <v>-4540.6334924689527</v>
      </c>
      <c r="BC25" s="10">
        <f ca="1">'Asset Finance'!BC$48</f>
        <v>-4351.440430282747</v>
      </c>
      <c r="BD25" s="10">
        <f ca="1">'Asset Finance'!BD$48</f>
        <v>-4170.1304123542986</v>
      </c>
      <c r="BE25" s="10">
        <f ca="1">'Asset Finance'!BE$48</f>
        <v>-3996.3749785062028</v>
      </c>
      <c r="BF25" s="10">
        <f ca="1">'Asset Finance'!BF$48</f>
        <v>-3829.8593544017776</v>
      </c>
      <c r="BG25" s="10">
        <f ca="1">'Asset Finance'!BG$48</f>
        <v>-3670.2818813017038</v>
      </c>
      <c r="BH25" s="10">
        <f ca="1">'Asset Finance'!BH$48</f>
        <v>-3517.3534695807994</v>
      </c>
      <c r="BI25" s="10">
        <f ca="1">'Asset Finance'!BI$48</f>
        <v>-3370.7970750149325</v>
      </c>
      <c r="BJ25" s="10">
        <f ca="1">'Asset Finance'!BJ$48</f>
        <v>-3230.3471968893105</v>
      </c>
      <c r="BK25" s="10">
        <f ca="1">'Asset Finance'!BK$48</f>
        <v>-3095.7493970189221</v>
      </c>
      <c r="BL25" s="10">
        <f ca="1">'Asset Finance'!BL$48</f>
        <v>-2966.7598388098004</v>
      </c>
      <c r="BM25" s="10">
        <f ca="1">'Asset Finance'!BM$48</f>
        <v>-2843.1448455260588</v>
      </c>
      <c r="BN25" s="10">
        <f ca="1">'Asset Finance'!BN$48</f>
        <v>-2724.6804769624728</v>
      </c>
      <c r="BO25" s="10">
        <f ca="1">'Asset Finance'!BO$48</f>
        <v>-2611.1521237557031</v>
      </c>
      <c r="BP25" s="10">
        <f ca="1">'Asset Finance'!BP$48</f>
        <v>-2502.3541185992153</v>
      </c>
      <c r="BQ25" s="10">
        <f ca="1">'Asset Finance'!BQ$48</f>
        <v>-2398.0893636575815</v>
      </c>
    </row>
    <row r="26" spans="5:69">
      <c r="E26" s="12" t="s">
        <v>181</v>
      </c>
      <c r="F26" s="30"/>
      <c r="G26" s="12" t="s">
        <v>258</v>
      </c>
      <c r="H26" s="56">
        <f ca="1" xml:space="preserve"> SUM( J26:BQ26 )</f>
        <v>114153158.88072786</v>
      </c>
      <c r="I26" s="30"/>
      <c r="J26" s="12">
        <f t="shared" ref="J26:BQ26" ca="1" si="2" xml:space="preserve"> J15 + SUM( J17:J25 )</f>
        <v>-65340</v>
      </c>
      <c r="K26" s="12">
        <f t="shared" ca="1" si="2"/>
        <v>136660</v>
      </c>
      <c r="L26" s="12">
        <f t="shared" ca="1" si="2"/>
        <v>121856.66666666663</v>
      </c>
      <c r="M26" s="12">
        <f t="shared" ca="1" si="2"/>
        <v>292343.87398989138</v>
      </c>
      <c r="N26" s="12">
        <f t="shared" ca="1" si="2"/>
        <v>258954.95327229885</v>
      </c>
      <c r="O26" s="12">
        <f t="shared" ca="1" si="2"/>
        <v>587550.78827331262</v>
      </c>
      <c r="P26" s="12">
        <f t="shared" ca="1" si="2"/>
        <v>282322.65978813334</v>
      </c>
      <c r="Q26" s="12">
        <f t="shared" ca="1" si="2"/>
        <v>257838.11659964841</v>
      </c>
      <c r="R26" s="12">
        <f t="shared" ca="1" si="2"/>
        <v>34660.876754421857</v>
      </c>
      <c r="S26" s="12">
        <f t="shared" ca="1" si="2"/>
        <v>162886.04262163484</v>
      </c>
      <c r="T26" s="12">
        <f t="shared" ca="1" si="2"/>
        <v>-125951.95243341167</v>
      </c>
      <c r="U26" s="12">
        <f t="shared" ca="1" si="2"/>
        <v>13758.895610655658</v>
      </c>
      <c r="V26" s="12">
        <f t="shared" ca="1" si="2"/>
        <v>1413873.3860657788</v>
      </c>
      <c r="W26" s="12">
        <f t="shared" ca="1" si="2"/>
        <v>-30126.632178014144</v>
      </c>
      <c r="X26" s="12">
        <f t="shared" ca="1" si="2"/>
        <v>901647.52262396493</v>
      </c>
      <c r="Y26" s="12">
        <f t="shared" ca="1" si="2"/>
        <v>1046314.6124197841</v>
      </c>
      <c r="Z26" s="12">
        <f t="shared" ca="1" si="2"/>
        <v>589356.77082505357</v>
      </c>
      <c r="AA26" s="12">
        <f t="shared" ca="1" si="2"/>
        <v>1212020.4086802325</v>
      </c>
      <c r="AB26" s="12">
        <f t="shared" ca="1" si="2"/>
        <v>288457.53902708529</v>
      </c>
      <c r="AC26" s="12">
        <f t="shared" ca="1" si="2"/>
        <v>257431.84022540922</v>
      </c>
      <c r="AD26" s="12">
        <f t="shared" ca="1" si="2"/>
        <v>472568.22887612501</v>
      </c>
      <c r="AE26" s="12">
        <f t="shared" ca="1" si="2"/>
        <v>303971.87687178724</v>
      </c>
      <c r="AF26" s="12">
        <f t="shared" ca="1" si="2"/>
        <v>342687.52936893562</v>
      </c>
      <c r="AG26" s="12">
        <f t="shared" ca="1" si="2"/>
        <v>-426732.87398356723</v>
      </c>
      <c r="AH26" s="12">
        <f t="shared" ca="1" si="2"/>
        <v>1949146.0635909005</v>
      </c>
      <c r="AI26" s="12">
        <f t="shared" ca="1" si="2"/>
        <v>344270.03373478586</v>
      </c>
      <c r="AJ26" s="12">
        <f t="shared" ca="1" si="2"/>
        <v>305033.88729357335</v>
      </c>
      <c r="AK26" s="12">
        <f t="shared" ca="1" si="2"/>
        <v>-388269.01206581341</v>
      </c>
      <c r="AL26" s="12">
        <f t="shared" ca="1" si="2"/>
        <v>1074520.6995495399</v>
      </c>
      <c r="AM26" s="12">
        <f t="shared" ca="1" si="2"/>
        <v>537491.81408642721</v>
      </c>
      <c r="AN26" s="12">
        <f t="shared" ca="1" si="2"/>
        <v>734395.42195623601</v>
      </c>
      <c r="AO26" s="12">
        <f t="shared" ca="1" si="2"/>
        <v>211384.79334022786</v>
      </c>
      <c r="AP26" s="12">
        <f t="shared" ca="1" si="2"/>
        <v>385677.47235231352</v>
      </c>
      <c r="AQ26" s="12">
        <f t="shared" ca="1" si="2"/>
        <v>554032.95590825169</v>
      </c>
      <c r="AR26" s="12">
        <f t="shared" ca="1" si="2"/>
        <v>1455940.8754136055</v>
      </c>
      <c r="AS26" s="12">
        <f t="shared" ca="1" si="2"/>
        <v>-203323.13353788183</v>
      </c>
      <c r="AT26" s="12">
        <f t="shared" ca="1" si="2"/>
        <v>2029682.3987870535</v>
      </c>
      <c r="AU26" s="12">
        <f t="shared" ca="1" si="2"/>
        <v>2059661.7799612428</v>
      </c>
      <c r="AV26" s="12">
        <f t="shared" ca="1" si="2"/>
        <v>657197.52004384005</v>
      </c>
      <c r="AW26" s="12">
        <f t="shared" ca="1" si="2"/>
        <v>498816.55281406769</v>
      </c>
      <c r="AX26" s="12">
        <f t="shared" ca="1" si="2"/>
        <v>3603956.5639062012</v>
      </c>
      <c r="AY26" s="12">
        <f t="shared" ca="1" si="2"/>
        <v>788538.56787391123</v>
      </c>
      <c r="AZ26" s="12">
        <f t="shared" ca="1" si="2"/>
        <v>4112063.0399000496</v>
      </c>
      <c r="BA26" s="12">
        <f t="shared" ca="1" si="2"/>
        <v>3309480.9665450007</v>
      </c>
      <c r="BB26" s="12">
        <f t="shared" ca="1" si="2"/>
        <v>1914742.3685154635</v>
      </c>
      <c r="BC26" s="12">
        <f t="shared" ca="1" si="2"/>
        <v>4763659.4125786349</v>
      </c>
      <c r="BD26" s="12">
        <f t="shared" ca="1" si="2"/>
        <v>4576856.3727493985</v>
      </c>
      <c r="BE26" s="12">
        <f t="shared" ca="1" si="2"/>
        <v>2000008.3626729653</v>
      </c>
      <c r="BF26" s="12">
        <f t="shared" ca="1" si="2"/>
        <v>5299443.9114545891</v>
      </c>
      <c r="BG26" s="12">
        <f t="shared" ca="1" si="2"/>
        <v>5916203.5800366709</v>
      </c>
      <c r="BH26" s="12">
        <f t="shared" ca="1" si="2"/>
        <v>2678139.2036732929</v>
      </c>
      <c r="BI26" s="12">
        <f t="shared" ca="1" si="2"/>
        <v>-829984.38605814136</v>
      </c>
      <c r="BJ26" s="12">
        <f t="shared" ca="1" si="2"/>
        <v>7228792.7062582448</v>
      </c>
      <c r="BK26" s="12">
        <f t="shared" ca="1" si="2"/>
        <v>3078745.2339748736</v>
      </c>
      <c r="BL26" s="12">
        <f t="shared" ca="1" si="2"/>
        <v>8578022.9529879373</v>
      </c>
      <c r="BM26" s="12">
        <f t="shared" ca="1" si="2"/>
        <v>7498767.9819822107</v>
      </c>
      <c r="BN26" s="12">
        <f t="shared" ca="1" si="2"/>
        <v>4444452.9285497973</v>
      </c>
      <c r="BO26" s="12">
        <f t="shared" ca="1" si="2"/>
        <v>9687732.2354164422</v>
      </c>
      <c r="BP26" s="12">
        <f t="shared" ca="1" si="2"/>
        <v>9354285.9460353851</v>
      </c>
      <c r="BQ26" s="12">
        <f t="shared" ca="1" si="2"/>
        <v>5614579.6784807472</v>
      </c>
    </row>
    <row r="28" spans="5:6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InpS!J$11</f>
        <v>0</v>
      </c>
      <c r="K28" s="10">
        <f xml:space="preserve"> InpS!K$11</f>
        <v>0</v>
      </c>
      <c r="L28" s="10">
        <f xml:space="preserve"> InpS!L$11</f>
        <v>0</v>
      </c>
      <c r="M28" s="10">
        <f xml:space="preserve"> InpS!M$11</f>
        <v>0</v>
      </c>
      <c r="N28" s="10">
        <f xml:space="preserve"> InpS!N$11</f>
        <v>0</v>
      </c>
      <c r="O28" s="10">
        <f xml:space="preserve"> InpS!O$11</f>
        <v>0</v>
      </c>
      <c r="P28" s="10">
        <f xml:space="preserve"> InpS!P$11</f>
        <v>0</v>
      </c>
      <c r="Q28" s="10">
        <f xml:space="preserve"> InpS!Q$11</f>
        <v>0</v>
      </c>
      <c r="R28" s="10">
        <f xml:space="preserve"> InpS!R$11</f>
        <v>0</v>
      </c>
      <c r="S28" s="10">
        <f xml:space="preserve"> InpS!S$11</f>
        <v>0</v>
      </c>
      <c r="T28" s="10">
        <f xml:space="preserve"> InpS!T$11</f>
        <v>0</v>
      </c>
      <c r="U28" s="10">
        <f xml:space="preserve"> InpS!U$11</f>
        <v>0</v>
      </c>
      <c r="V28" s="10">
        <f xml:space="preserve"> InpS!V$11</f>
        <v>0</v>
      </c>
      <c r="W28" s="10">
        <f xml:space="preserve"> InpS!W$11</f>
        <v>0</v>
      </c>
      <c r="X28" s="10">
        <f xml:space="preserve"> InpS!X$11</f>
        <v>0</v>
      </c>
      <c r="Y28" s="10">
        <f xml:space="preserve"> InpS!Y$11</f>
        <v>0</v>
      </c>
      <c r="Z28" s="10">
        <f xml:space="preserve"> InpS!Z$11</f>
        <v>0</v>
      </c>
      <c r="AA28" s="10">
        <f xml:space="preserve"> InpS!AA$11</f>
        <v>0</v>
      </c>
      <c r="AB28" s="10">
        <f xml:space="preserve"> InpS!AB$11</f>
        <v>0</v>
      </c>
      <c r="AC28" s="10">
        <f xml:space="preserve"> InpS!AC$11</f>
        <v>0</v>
      </c>
      <c r="AD28" s="10">
        <f xml:space="preserve"> InpS!AD$11</f>
        <v>0</v>
      </c>
      <c r="AE28" s="10">
        <f xml:space="preserve"> InpS!AE$11</f>
        <v>0</v>
      </c>
      <c r="AF28" s="10">
        <f xml:space="preserve"> InpS!AF$11</f>
        <v>0</v>
      </c>
      <c r="AG28" s="10">
        <f xml:space="preserve"> InpS!AG$11</f>
        <v>0</v>
      </c>
      <c r="AH28" s="10">
        <f xml:space="preserve"> InpS!AH$11</f>
        <v>0</v>
      </c>
      <c r="AI28" s="10">
        <f xml:space="preserve"> InpS!AI$11</f>
        <v>0</v>
      </c>
      <c r="AJ28" s="10">
        <f xml:space="preserve"> InpS!AJ$11</f>
        <v>0</v>
      </c>
      <c r="AK28" s="10">
        <f xml:space="preserve"> InpS!AK$11</f>
        <v>0</v>
      </c>
      <c r="AL28" s="10">
        <f xml:space="preserve"> InpS!AL$11</f>
        <v>0</v>
      </c>
      <c r="AM28" s="10">
        <f xml:space="preserve"> InpS!AM$11</f>
        <v>0</v>
      </c>
      <c r="AN28" s="10">
        <f xml:space="preserve"> InpS!AN$11</f>
        <v>0</v>
      </c>
      <c r="AO28" s="10">
        <f xml:space="preserve"> InpS!AO$11</f>
        <v>0</v>
      </c>
      <c r="AP28" s="10">
        <f xml:space="preserve"> InpS!AP$11</f>
        <v>0</v>
      </c>
      <c r="AQ28" s="10">
        <f xml:space="preserve"> InpS!AQ$11</f>
        <v>0</v>
      </c>
      <c r="AR28" s="10">
        <f xml:space="preserve"> InpS!AR$11</f>
        <v>0</v>
      </c>
      <c r="AS28" s="10">
        <f xml:space="preserve"> InpS!AS$11</f>
        <v>0</v>
      </c>
      <c r="AT28" s="10">
        <f xml:space="preserve"> InpS!AT$11</f>
        <v>0</v>
      </c>
      <c r="AU28" s="10">
        <f xml:space="preserve"> InpS!AU$11</f>
        <v>0</v>
      </c>
      <c r="AV28" s="10">
        <f xml:space="preserve"> InpS!AV$11</f>
        <v>0</v>
      </c>
      <c r="AW28" s="10">
        <f xml:space="preserve"> InpS!AW$11</f>
        <v>0</v>
      </c>
      <c r="AX28" s="10">
        <f xml:space="preserve"> InpS!AX$11</f>
        <v>0</v>
      </c>
      <c r="AY28" s="10">
        <f xml:space="preserve"> InpS!AY$11</f>
        <v>0</v>
      </c>
      <c r="AZ28" s="10">
        <f xml:space="preserve"> InpS!AZ$11</f>
        <v>0</v>
      </c>
      <c r="BA28" s="10">
        <f xml:space="preserve"> InpS!BA$11</f>
        <v>0</v>
      </c>
      <c r="BB28" s="10">
        <f xml:space="preserve"> InpS!BB$11</f>
        <v>0</v>
      </c>
      <c r="BC28" s="10">
        <f xml:space="preserve"> InpS!BC$11</f>
        <v>0</v>
      </c>
      <c r="BD28" s="10">
        <f xml:space="preserve"> InpS!BD$11</f>
        <v>0</v>
      </c>
      <c r="BE28" s="10">
        <f xml:space="preserve"> InpS!BE$11</f>
        <v>0</v>
      </c>
      <c r="BF28" s="10">
        <f xml:space="preserve"> InpS!BF$11</f>
        <v>0</v>
      </c>
      <c r="BG28" s="10">
        <f xml:space="preserve"> InpS!BG$11</f>
        <v>0</v>
      </c>
      <c r="BH28" s="10">
        <f xml:space="preserve"> InpS!BH$11</f>
        <v>0</v>
      </c>
      <c r="BI28" s="10">
        <f xml:space="preserve"> InpS!BI$11</f>
        <v>0</v>
      </c>
      <c r="BJ28" s="10">
        <f xml:space="preserve"> InpS!BJ$11</f>
        <v>0</v>
      </c>
      <c r="BK28" s="10">
        <f xml:space="preserve"> InpS!BK$11</f>
        <v>0</v>
      </c>
      <c r="BL28" s="10">
        <f xml:space="preserve"> InpS!BL$11</f>
        <v>0</v>
      </c>
      <c r="BM28" s="10">
        <f xml:space="preserve"> InpS!BM$11</f>
        <v>0</v>
      </c>
      <c r="BN28" s="10">
        <f xml:space="preserve"> InpS!BN$11</f>
        <v>0</v>
      </c>
      <c r="BO28" s="10">
        <f xml:space="preserve"> InpS!BO$11</f>
        <v>0</v>
      </c>
      <c r="BP28" s="10">
        <f xml:space="preserve"> InpS!BP$11</f>
        <v>0</v>
      </c>
      <c r="BQ28" s="10">
        <f xml:space="preserve"> InpS!BQ$11</f>
        <v>0</v>
      </c>
    </row>
    <row r="29" spans="5:69">
      <c r="E29" s="12" t="s">
        <v>115</v>
      </c>
      <c r="F29" s="30"/>
      <c r="G29" s="12" t="s">
        <v>258</v>
      </c>
      <c r="H29" s="56">
        <f ca="1" xml:space="preserve"> SUM( J29:BQ29 )</f>
        <v>114153158.88072786</v>
      </c>
      <c r="I29" s="30"/>
      <c r="J29" s="12">
        <f t="shared" ref="J29:BQ29" ca="1" si="3" xml:space="preserve"> J26 + J28</f>
        <v>-65340</v>
      </c>
      <c r="K29" s="12">
        <f t="shared" ca="1" si="3"/>
        <v>136660</v>
      </c>
      <c r="L29" s="12">
        <f t="shared" ca="1" si="3"/>
        <v>121856.66666666663</v>
      </c>
      <c r="M29" s="12">
        <f t="shared" ca="1" si="3"/>
        <v>292343.87398989138</v>
      </c>
      <c r="N29" s="12">
        <f t="shared" ca="1" si="3"/>
        <v>258954.95327229885</v>
      </c>
      <c r="O29" s="12">
        <f t="shared" ca="1" si="3"/>
        <v>587550.78827331262</v>
      </c>
      <c r="P29" s="12">
        <f t="shared" ca="1" si="3"/>
        <v>282322.65978813334</v>
      </c>
      <c r="Q29" s="12">
        <f t="shared" ca="1" si="3"/>
        <v>257838.11659964841</v>
      </c>
      <c r="R29" s="12">
        <f t="shared" ca="1" si="3"/>
        <v>34660.876754421857</v>
      </c>
      <c r="S29" s="12">
        <f t="shared" ca="1" si="3"/>
        <v>162886.04262163484</v>
      </c>
      <c r="T29" s="12">
        <f t="shared" ca="1" si="3"/>
        <v>-125951.95243341167</v>
      </c>
      <c r="U29" s="12">
        <f t="shared" ca="1" si="3"/>
        <v>13758.895610655658</v>
      </c>
      <c r="V29" s="12">
        <f t="shared" ca="1" si="3"/>
        <v>1413873.3860657788</v>
      </c>
      <c r="W29" s="12">
        <f t="shared" ca="1" si="3"/>
        <v>-30126.632178014144</v>
      </c>
      <c r="X29" s="12">
        <f t="shared" ca="1" si="3"/>
        <v>901647.52262396493</v>
      </c>
      <c r="Y29" s="12">
        <f t="shared" ca="1" si="3"/>
        <v>1046314.6124197841</v>
      </c>
      <c r="Z29" s="12">
        <f t="shared" ca="1" si="3"/>
        <v>589356.77082505357</v>
      </c>
      <c r="AA29" s="12">
        <f t="shared" ca="1" si="3"/>
        <v>1212020.4086802325</v>
      </c>
      <c r="AB29" s="12">
        <f t="shared" ca="1" si="3"/>
        <v>288457.53902708529</v>
      </c>
      <c r="AC29" s="12">
        <f t="shared" ca="1" si="3"/>
        <v>257431.84022540922</v>
      </c>
      <c r="AD29" s="12">
        <f t="shared" ca="1" si="3"/>
        <v>472568.22887612501</v>
      </c>
      <c r="AE29" s="12">
        <f t="shared" ca="1" si="3"/>
        <v>303971.87687178724</v>
      </c>
      <c r="AF29" s="12">
        <f t="shared" ca="1" si="3"/>
        <v>342687.52936893562</v>
      </c>
      <c r="AG29" s="12">
        <f t="shared" ca="1" si="3"/>
        <v>-426732.87398356723</v>
      </c>
      <c r="AH29" s="12">
        <f t="shared" ca="1" si="3"/>
        <v>1949146.0635909005</v>
      </c>
      <c r="AI29" s="12">
        <f t="shared" ca="1" si="3"/>
        <v>344270.03373478586</v>
      </c>
      <c r="AJ29" s="12">
        <f t="shared" ca="1" si="3"/>
        <v>305033.88729357335</v>
      </c>
      <c r="AK29" s="12">
        <f t="shared" ca="1" si="3"/>
        <v>-388269.01206581341</v>
      </c>
      <c r="AL29" s="12">
        <f t="shared" ca="1" si="3"/>
        <v>1074520.6995495399</v>
      </c>
      <c r="AM29" s="12">
        <f t="shared" ca="1" si="3"/>
        <v>537491.81408642721</v>
      </c>
      <c r="AN29" s="12">
        <f t="shared" ca="1" si="3"/>
        <v>734395.42195623601</v>
      </c>
      <c r="AO29" s="12">
        <f t="shared" ca="1" si="3"/>
        <v>211384.79334022786</v>
      </c>
      <c r="AP29" s="12">
        <f t="shared" ca="1" si="3"/>
        <v>385677.47235231352</v>
      </c>
      <c r="AQ29" s="12">
        <f t="shared" ca="1" si="3"/>
        <v>554032.95590825169</v>
      </c>
      <c r="AR29" s="12">
        <f t="shared" ca="1" si="3"/>
        <v>1455940.8754136055</v>
      </c>
      <c r="AS29" s="12">
        <f t="shared" ca="1" si="3"/>
        <v>-203323.13353788183</v>
      </c>
      <c r="AT29" s="12">
        <f t="shared" ca="1" si="3"/>
        <v>2029682.3987870535</v>
      </c>
      <c r="AU29" s="12">
        <f t="shared" ca="1" si="3"/>
        <v>2059661.7799612428</v>
      </c>
      <c r="AV29" s="12">
        <f t="shared" ca="1" si="3"/>
        <v>657197.52004384005</v>
      </c>
      <c r="AW29" s="12">
        <f t="shared" ca="1" si="3"/>
        <v>498816.55281406769</v>
      </c>
      <c r="AX29" s="12">
        <f t="shared" ca="1" si="3"/>
        <v>3603956.5639062012</v>
      </c>
      <c r="AY29" s="12">
        <f t="shared" ca="1" si="3"/>
        <v>788538.56787391123</v>
      </c>
      <c r="AZ29" s="12">
        <f t="shared" ca="1" si="3"/>
        <v>4112063.0399000496</v>
      </c>
      <c r="BA29" s="12">
        <f t="shared" ca="1" si="3"/>
        <v>3309480.9665450007</v>
      </c>
      <c r="BB29" s="12">
        <f t="shared" ca="1" si="3"/>
        <v>1914742.3685154635</v>
      </c>
      <c r="BC29" s="12">
        <f t="shared" ca="1" si="3"/>
        <v>4763659.4125786349</v>
      </c>
      <c r="BD29" s="12">
        <f t="shared" ca="1" si="3"/>
        <v>4576856.3727493985</v>
      </c>
      <c r="BE29" s="12">
        <f t="shared" ca="1" si="3"/>
        <v>2000008.3626729653</v>
      </c>
      <c r="BF29" s="12">
        <f t="shared" ca="1" si="3"/>
        <v>5299443.9114545891</v>
      </c>
      <c r="BG29" s="12">
        <f t="shared" ca="1" si="3"/>
        <v>5916203.5800366709</v>
      </c>
      <c r="BH29" s="12">
        <f t="shared" ca="1" si="3"/>
        <v>2678139.2036732929</v>
      </c>
      <c r="BI29" s="12">
        <f t="shared" ca="1" si="3"/>
        <v>-829984.38605814136</v>
      </c>
      <c r="BJ29" s="12">
        <f t="shared" ca="1" si="3"/>
        <v>7228792.7062582448</v>
      </c>
      <c r="BK29" s="12">
        <f t="shared" ca="1" si="3"/>
        <v>3078745.2339748736</v>
      </c>
      <c r="BL29" s="12">
        <f t="shared" ca="1" si="3"/>
        <v>8578022.9529879373</v>
      </c>
      <c r="BM29" s="12">
        <f t="shared" ca="1" si="3"/>
        <v>7498767.9819822107</v>
      </c>
      <c r="BN29" s="12">
        <f t="shared" ca="1" si="3"/>
        <v>4444452.9285497973</v>
      </c>
      <c r="BO29" s="12">
        <f t="shared" ca="1" si="3"/>
        <v>9687732.2354164422</v>
      </c>
      <c r="BP29" s="12">
        <f t="shared" ca="1" si="3"/>
        <v>9354285.9460353851</v>
      </c>
      <c r="BQ29" s="12">
        <f t="shared" ca="1" si="3"/>
        <v>5614579.6784807472</v>
      </c>
    </row>
  </sheetData>
  <conditionalFormatting sqref="F3">
    <cfRule type="cellIs" dxfId="88" priority="8" stopIfTrue="1" operator="notEqual">
      <formula>0</formula>
    </cfRule>
    <cfRule type="cellIs" dxfId="87" priority="9" stopIfTrue="1" operator="equal">
      <formula>""</formula>
    </cfRule>
  </conditionalFormatting>
  <conditionalFormatting sqref="J3:BQ3">
    <cfRule type="cellIs" dxfId="86" priority="6" stopIfTrue="1" operator="equal">
      <formula>"Construction"</formula>
    </cfRule>
    <cfRule type="cellIs" dxfId="85" priority="7" stopIfTrue="1" operator="equal">
      <formula>"Operations"</formula>
    </cfRule>
  </conditionalFormatting>
  <conditionalFormatting sqref="J3:BQ3">
    <cfRule type="cellIs" dxfId="84" priority="5" operator="equal">
      <formula>"Fin Close"</formula>
    </cfRule>
  </conditionalFormatting>
  <conditionalFormatting sqref="J3:BQ3">
    <cfRule type="cellIs" dxfId="83" priority="3" operator="equal">
      <formula>"PPA ext."</formula>
    </cfRule>
    <cfRule type="cellIs" dxfId="82" priority="4" operator="equal">
      <formula>"Delay"</formula>
    </cfRule>
  </conditionalFormatting>
  <conditionalFormatting sqref="F2">
    <cfRule type="cellIs" dxfId="81" priority="1" stopIfTrue="1" operator="notEqual">
      <formula>0</formula>
    </cfRule>
    <cfRule type="cellIs" dxfId="80"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21875" bestFit="1" customWidth="1"/>
    <col min="11" max="11" width="11.77734375" bestFit="1" customWidth="1"/>
    <col min="12" max="12" width="11.88671875" bestFit="1" customWidth="1"/>
    <col min="13" max="14" width="11.77734375" bestFit="1" customWidth="1"/>
    <col min="15" max="21" width="12.44140625" bestFit="1" customWidth="1"/>
    <col min="22" max="29" width="13.21875" bestFit="1" customWidth="1"/>
    <col min="30" max="30" width="15.109375" hidden="1" customWidth="1"/>
    <col min="31" max="16384" width="15.109375" hidden="1"/>
  </cols>
  <sheetData>
    <row r="1" spans="1:29" s="73" customFormat="1" ht="25">
      <c r="A1" s="46" t="str">
        <f ca="1" xml:space="preserve"> RIGHT(CELL("filename", A1), LEN(CELL("filename", A1)) - SEARCH("]", CELL("filename", A1)))</f>
        <v>Cashflow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Time!$J332:$BQ332, Time!J$28, 'Working Capital'!$J22:$BQ22)</f>
        <v>0</v>
      </c>
      <c r="K8" s="10">
        <f ca="1" xml:space="preserve"> SUMIF( Time!$J332:$BQ332, Time!K$28, 'Working Capital'!$J22:$BQ22)</f>
        <v>518400</v>
      </c>
      <c r="L8" s="10">
        <f ca="1" xml:space="preserve"> SUMIF( Time!$J332:$BQ332, Time!L$28, 'Working Capital'!$J22:$BQ22)</f>
        <v>1209600</v>
      </c>
      <c r="M8" s="10">
        <f ca="1" xml:space="preserve"> SUMIF( Time!$J332:$BQ332, Time!M$28, 'Working Capital'!$J22:$BQ22)</f>
        <v>1036800</v>
      </c>
      <c r="N8" s="10">
        <f ca="1" xml:space="preserve"> SUMIF( Time!$J332:$BQ332, Time!N$28, 'Working Capital'!$J22:$BQ22)</f>
        <v>3456000</v>
      </c>
      <c r="O8" s="10">
        <f ca="1" xml:space="preserve"> SUMIF( Time!$J332:$BQ332, Time!O$28, 'Working Capital'!$J22:$BQ22)</f>
        <v>3776658.2706280798</v>
      </c>
      <c r="P8" s="10">
        <f ca="1" xml:space="preserve"> SUMIF( Time!$J332:$BQ332, Time!P$28, 'Working Capital'!$J22:$BQ22)</f>
        <v>1407341.7293719202</v>
      </c>
      <c r="Q8" s="10">
        <f ca="1" xml:space="preserve"> SUMIF( Time!$J332:$BQ332, Time!Q$28, 'Working Capital'!$J22:$BQ22)</f>
        <v>1036800</v>
      </c>
      <c r="R8" s="10">
        <f ca="1" xml:space="preserve"> SUMIF( Time!$J332:$BQ332, Time!R$28, 'Working Capital'!$J22:$BQ22)</f>
        <v>6048000</v>
      </c>
      <c r="S8" s="10">
        <f ca="1" xml:space="preserve"> SUMIF( Time!$J332:$BQ332, Time!S$28, 'Working Capital'!$J22:$BQ22)</f>
        <v>7578258.2706280798</v>
      </c>
      <c r="T8" s="10">
        <f ca="1" xml:space="preserve"> SUMIF( Time!$J332:$BQ332, Time!T$28, 'Working Capital'!$J22:$BQ22)</f>
        <v>5381741.7293719202</v>
      </c>
      <c r="U8" s="10">
        <f ca="1" xml:space="preserve"> SUMIF( Time!$J332:$BQ332, Time!U$28, 'Working Capital'!$J22:$BQ22)</f>
        <v>6048000</v>
      </c>
      <c r="V8" s="10">
        <f ca="1" xml:space="preserve"> SUMIF( Time!$J332:$BQ332, Time!V$28, 'Working Capital'!$J22:$BQ22)</f>
        <v>10368000</v>
      </c>
      <c r="W8" s="10">
        <f ca="1" xml:space="preserve"> SUMIF( Time!$J332:$BQ332, Time!W$28, 'Working Capital'!$J22:$BQ22)</f>
        <v>14688000</v>
      </c>
      <c r="X8" s="10">
        <f ca="1" xml:space="preserve"> SUMIF( Time!$J332:$BQ332, Time!X$28, 'Working Capital'!$J22:$BQ22)</f>
        <v>17280000</v>
      </c>
      <c r="Y8" s="10">
        <f ca="1" xml:space="preserve"> SUMIF( Time!$J332:$BQ332, Time!Y$28, 'Working Capital'!$J22:$BQ22)</f>
        <v>20736000</v>
      </c>
      <c r="Z8" s="10">
        <f ca="1" xml:space="preserve"> SUMIF( Time!$J332:$BQ332, Time!Z$28, 'Working Capital'!$J22:$BQ22)</f>
        <v>25056000</v>
      </c>
      <c r="AA8" s="10">
        <f ca="1" xml:space="preserve"> SUMIF( Time!$J332:$BQ332, Time!AA$28, 'Working Capital'!$J22:$BQ22)</f>
        <v>30240000</v>
      </c>
      <c r="AB8" s="10">
        <f ca="1" xml:space="preserve"> SUMIF( Time!$J332:$BQ332, Time!AB$28, 'Working Capital'!$J22:$BQ22)</f>
        <v>36288000</v>
      </c>
      <c r="AC8" s="10">
        <f ca="1" xml:space="preserve"> SUMIF( Time!$J332:$BQ332, Time!AC$28, 'Working Capital'!$J22:$BQ22)</f>
        <v>43200000</v>
      </c>
    </row>
    <row r="9" spans="1:2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Time!$J332:$BQ332, Time!J$28, 'Working Capital'!$J52:$BQ52)</f>
        <v>-196020</v>
      </c>
      <c r="K9" s="10">
        <f ca="1" xml:space="preserve"> SUMIF( Time!$J332:$BQ332, Time!K$28, 'Working Capital'!$J52:$BQ52)</f>
        <v>-262990.66969699238</v>
      </c>
      <c r="L9" s="10">
        <f ca="1" xml:space="preserve"> SUMIF( Time!$J332:$BQ332, Time!L$28, 'Working Capital'!$J52:$BQ52)</f>
        <v>-361729.13020651531</v>
      </c>
      <c r="M9" s="10">
        <f ca="1" xml:space="preserve"> SUMIF( Time!$J332:$BQ332, Time!M$28, 'Working Capital'!$J52:$BQ52)</f>
        <v>-397197.51609844394</v>
      </c>
      <c r="N9" s="10">
        <f ca="1" xml:space="preserve"> SUMIF( Time!$J332:$BQ332, Time!N$28, 'Working Capital'!$J52:$BQ52)</f>
        <v>-430343.67480757402</v>
      </c>
      <c r="O9" s="10">
        <f ca="1" xml:space="preserve"> SUMIF( Time!$J332:$BQ332, Time!O$28, 'Working Capital'!$J52:$BQ52)</f>
        <v>-484848.83234491397</v>
      </c>
      <c r="P9" s="10">
        <f ca="1" xml:space="preserve"> SUMIF( Time!$J332:$BQ332, Time!P$28, 'Working Capital'!$J52:$BQ52)</f>
        <v>-548987.20092985535</v>
      </c>
      <c r="Q9" s="10">
        <f ca="1" xml:space="preserve"> SUMIF( Time!$J332:$BQ332, Time!Q$28, 'Working Capital'!$J52:$BQ52)</f>
        <v>-624604.30618664552</v>
      </c>
      <c r="R9" s="10">
        <f ca="1" xml:space="preserve"> SUMIF( Time!$J332:$BQ332, Time!R$28, 'Working Capital'!$J52:$BQ52)</f>
        <v>-756455.97603332857</v>
      </c>
      <c r="S9" s="10">
        <f ca="1" xml:space="preserve"> SUMIF( Time!$J332:$BQ332, Time!S$28, 'Working Capital'!$J52:$BQ52)</f>
        <v>-918879.43756854162</v>
      </c>
      <c r="T9" s="10">
        <f ca="1" xml:space="preserve"> SUMIF( Time!$J332:$BQ332, Time!T$28, 'Working Capital'!$J52:$BQ52)</f>
        <v>-1129037.3297272692</v>
      </c>
      <c r="U9" s="10">
        <f ca="1" xml:space="preserve"> SUMIF( Time!$J332:$BQ332, Time!U$28, 'Working Capital'!$J52:$BQ52)</f>
        <v>-1305024.7610831326</v>
      </c>
      <c r="V9" s="10">
        <f ca="1" xml:space="preserve"> SUMIF( Time!$J332:$BQ332, Time!V$28, 'Working Capital'!$J52:$BQ52)</f>
        <v>-1505935.4011533563</v>
      </c>
      <c r="W9" s="10">
        <f ca="1" xml:space="preserve"> SUMIF( Time!$J332:$BQ332, Time!W$28, 'Working Capital'!$J52:$BQ52)</f>
        <v>-1758271.9911700091</v>
      </c>
      <c r="X9" s="10">
        <f ca="1" xml:space="preserve"> SUMIF( Time!$J332:$BQ332, Time!X$28, 'Working Capital'!$J52:$BQ52)</f>
        <v>-2057560.4335326897</v>
      </c>
      <c r="Y9" s="10">
        <f ca="1" xml:space="preserve"> SUMIF( Time!$J332:$BQ332, Time!Y$28, 'Working Capital'!$J52:$BQ52)</f>
        <v>-2412675.5212928569</v>
      </c>
      <c r="Z9" s="10">
        <f ca="1" xml:space="preserve"> SUMIF( Time!$J332:$BQ332, Time!Z$28, 'Working Capital'!$J52:$BQ52)</f>
        <v>-2833968.2118384931</v>
      </c>
      <c r="AA9" s="10">
        <f ca="1" xml:space="preserve"> SUMIF( Time!$J332:$BQ332, Time!AA$28, 'Working Capital'!$J52:$BQ52)</f>
        <v>-3334319.5479256003</v>
      </c>
      <c r="AB9" s="10">
        <f ca="1" xml:space="preserve"> SUMIF( Time!$J332:$BQ332, Time!AB$28, 'Working Capital'!$J52:$BQ52)</f>
        <v>-3928469.5967871528</v>
      </c>
      <c r="AC9" s="10">
        <f ca="1" xml:space="preserve"> SUMIF( Time!$J332:$BQ332, Time!AC$28, 'Working Capital'!$J52:$BQ52)</f>
        <v>-4634105.911833819</v>
      </c>
    </row>
    <row r="10" spans="1:2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Time!$J332:$BQ332, Time!J$28, VAT!$J38:$BQ38)</f>
        <v>-16920</v>
      </c>
      <c r="K10" s="10">
        <f ca="1" xml:space="preserve"> SUMIF( Time!$J332:$BQ332, Time!K$28, VAT!$J38:$BQ38)</f>
        <v>144518.82846648438</v>
      </c>
      <c r="L10" s="10">
        <f ca="1" xml:space="preserve"> SUMIF( Time!$J332:$BQ332, Time!L$28, VAT!$J38:$BQ38)</f>
        <v>-159307.60817848417</v>
      </c>
      <c r="M10" s="10">
        <f ca="1" xml:space="preserve"> SUMIF( Time!$J332:$BQ332, Time!M$28, VAT!$J38:$BQ38)</f>
        <v>-268405.93447262415</v>
      </c>
      <c r="N10" s="10">
        <f ca="1" xml:space="preserve"> SUMIF( Time!$J332:$BQ332, Time!N$28, VAT!$J38:$BQ38)</f>
        <v>-489316.53619390458</v>
      </c>
      <c r="O10" s="10">
        <f ca="1" xml:space="preserve"> SUMIF( Time!$J332:$BQ332, Time!O$28, VAT!$J38:$BQ38)</f>
        <v>-339901.04439600348</v>
      </c>
      <c r="P10" s="10">
        <f ca="1" xml:space="preserve"> SUMIF( Time!$J332:$BQ332, Time!P$28, VAT!$J38:$BQ38)</f>
        <v>-36341.766717129693</v>
      </c>
      <c r="Q10" s="10">
        <f ca="1" xml:space="preserve"> SUMIF( Time!$J332:$BQ332, Time!Q$28, VAT!$J38:$BQ38)</f>
        <v>-289035.40115353878</v>
      </c>
      <c r="R10" s="10">
        <f ca="1" xml:space="preserve"> SUMIF( Time!$J332:$BQ332, Time!R$28, VAT!$J38:$BQ38)</f>
        <v>-764539.52380783099</v>
      </c>
      <c r="S10" s="10">
        <f ca="1" xml:space="preserve"> SUMIF( Time!$J332:$BQ332, Time!S$28, VAT!$J38:$BQ38)</f>
        <v>-728267.19340472692</v>
      </c>
      <c r="T10" s="10">
        <f ca="1" xml:space="preserve"> SUMIF( Time!$J332:$BQ332, Time!T$28, VAT!$J38:$BQ38)</f>
        <v>-382940.87802171911</v>
      </c>
      <c r="U10" s="10">
        <f ca="1" xml:space="preserve"> SUMIF( Time!$J332:$BQ332, Time!U$28, VAT!$J38:$BQ38)</f>
        <v>-727082.70457110065</v>
      </c>
      <c r="V10" s="10">
        <f ca="1" xml:space="preserve"> SUMIF( Time!$J332:$BQ332, Time!V$28, VAT!$J38:$BQ38)</f>
        <v>-1325909.5156905523</v>
      </c>
      <c r="W10" s="10">
        <f ca="1" xml:space="preserve"> SUMIF( Time!$J332:$BQ332, Time!W$28, VAT!$J38:$BQ38)</f>
        <v>-1775240.8581337868</v>
      </c>
      <c r="X10" s="10">
        <f ca="1" xml:space="preserve"> SUMIF( Time!$J332:$BQ332, Time!X$28, VAT!$J38:$BQ38)</f>
        <v>-2076538.3232583986</v>
      </c>
      <c r="Y10" s="10">
        <f ca="1" xml:space="preserve"> SUMIF( Time!$J332:$BQ332, Time!Y$28, VAT!$J38:$BQ38)</f>
        <v>-2482045.2235028557</v>
      </c>
      <c r="Z10" s="10">
        <f ca="1" xml:space="preserve"> SUMIF( Time!$J332:$BQ332, Time!Z$28, VAT!$J38:$BQ38)</f>
        <v>-3134868.2563836453</v>
      </c>
      <c r="AA10" s="10">
        <f ca="1" xml:space="preserve"> SUMIF( Time!$J332:$BQ332, Time!AA$28, VAT!$J38:$BQ38)</f>
        <v>-3889916.6089735446</v>
      </c>
      <c r="AB10" s="10">
        <f ca="1" xml:space="preserve"> SUMIF( Time!$J332:$BQ332, Time!AB$28, VAT!$J38:$BQ38)</f>
        <v>-4457910.7972734896</v>
      </c>
      <c r="AC10" s="10">
        <f ca="1" xml:space="preserve"> SUMIF( Time!$J332:$BQ332, Time!AC$28, VAT!$J38:$BQ38)</f>
        <v>-5234337.1600900143</v>
      </c>
    </row>
    <row r="11" spans="1:2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Time!$J332:$BQ332, Time!J$28, 'Corporation tax'!$J69:$BQ69)</f>
        <v>0</v>
      </c>
      <c r="K11" s="10">
        <f ca="1" xml:space="preserve"> SUMIF( Time!$J332:$BQ332, Time!K$28, 'Corporation tax'!$J69:$BQ69)</f>
        <v>0</v>
      </c>
      <c r="L11" s="10">
        <f ca="1" xml:space="preserve"> SUMIF( Time!$J332:$BQ332, Time!L$28, 'Corporation tax'!$J69:$BQ69)</f>
        <v>0</v>
      </c>
      <c r="M11" s="10">
        <f ca="1" xml:space="preserve"> SUMIF( Time!$J332:$BQ332, Time!M$28, 'Corporation tax'!$J69:$BQ69)</f>
        <v>0</v>
      </c>
      <c r="N11" s="10">
        <f ca="1" xml:space="preserve"> SUMIF( Time!$J332:$BQ332, Time!N$28, 'Corporation tax'!$J69:$BQ69)</f>
        <v>0</v>
      </c>
      <c r="O11" s="10">
        <f ca="1" xml:space="preserve"> SUMIF( Time!$J332:$BQ332, Time!O$28, 'Corporation tax'!$J69:$BQ69)</f>
        <v>-358506.10425785242</v>
      </c>
      <c r="P11" s="10">
        <f ca="1" xml:space="preserve"> SUMIF( Time!$J332:$BQ332, Time!P$28, 'Corporation tax'!$J69:$BQ69)</f>
        <v>0</v>
      </c>
      <c r="Q11" s="10">
        <f ca="1" xml:space="preserve"> SUMIF( Time!$J332:$BQ332, Time!Q$28, 'Corporation tax'!$J69:$BQ69)</f>
        <v>0</v>
      </c>
      <c r="R11" s="10">
        <f ca="1" xml:space="preserve"> SUMIF( Time!$J332:$BQ332, Time!R$28, 'Corporation tax'!$J69:$BQ69)</f>
        <v>0</v>
      </c>
      <c r="S11" s="10">
        <f ca="1" xml:space="preserve"> SUMIF( Time!$J332:$BQ332, Time!S$28, 'Corporation tax'!$J69:$BQ69)</f>
        <v>-1415781.5297293758</v>
      </c>
      <c r="T11" s="10">
        <f ca="1" xml:space="preserve"> SUMIF( Time!$J332:$BQ332, Time!T$28, 'Corporation tax'!$J69:$BQ69)</f>
        <v>0</v>
      </c>
      <c r="U11" s="10">
        <f ca="1" xml:space="preserve"> SUMIF( Time!$J332:$BQ332, Time!U$28, 'Corporation tax'!$J69:$BQ69)</f>
        <v>0</v>
      </c>
      <c r="V11" s="10">
        <f ca="1" xml:space="preserve"> SUMIF( Time!$J332:$BQ332, Time!V$28, 'Corporation tax'!$J69:$BQ69)</f>
        <v>0</v>
      </c>
      <c r="W11" s="10">
        <f ca="1" xml:space="preserve"> SUMIF( Time!$J332:$BQ332, Time!W$28, 'Corporation tax'!$J69:$BQ69)</f>
        <v>-3038017.585057735</v>
      </c>
      <c r="X11" s="10">
        <f ca="1" xml:space="preserve"> SUMIF( Time!$J332:$BQ332, Time!X$28, 'Corporation tax'!$J69:$BQ69)</f>
        <v>0</v>
      </c>
      <c r="Y11" s="10">
        <f ca="1" xml:space="preserve"> SUMIF( Time!$J332:$BQ332, Time!Y$28, 'Corporation tax'!$J69:$BQ69)</f>
        <v>0</v>
      </c>
      <c r="Z11" s="10">
        <f ca="1" xml:space="preserve"> SUMIF( Time!$J332:$BQ332, Time!Z$28, 'Corporation tax'!$J69:$BQ69)</f>
        <v>0</v>
      </c>
      <c r="AA11" s="10">
        <f ca="1" xml:space="preserve"> SUMIF( Time!$J332:$BQ332, Time!AA$28, 'Corporation tax'!$J69:$BQ69)</f>
        <v>-7304407.809826185</v>
      </c>
      <c r="AB11" s="10">
        <f ca="1" xml:space="preserve"> SUMIF( Time!$J332:$BQ332, Time!AB$28, 'Corporation tax'!$J69:$BQ69)</f>
        <v>0</v>
      </c>
      <c r="AC11" s="10">
        <f ca="1" xml:space="preserve"> SUMIF( Time!$J332:$BQ332, Time!AC$28, 'Corporation tax'!$J69:$BQ69)</f>
        <v>0</v>
      </c>
    </row>
    <row r="12" spans="1:29">
      <c r="E12" s="12" t="s">
        <v>114</v>
      </c>
      <c r="F12" s="30"/>
      <c r="G12" s="12" t="s">
        <v>258</v>
      </c>
      <c r="H12" s="56">
        <f ca="1" xml:space="preserve"> SUM( J12:BQ12 )</f>
        <v>164921155.01515478</v>
      </c>
      <c r="I12" s="30"/>
      <c r="J12" s="12">
        <f ca="1" xml:space="preserve"> SUMIF( Time!$J332:$BQ332, Time!J$28, Cashflow!$J12:$BQ12)</f>
        <v>-212940</v>
      </c>
      <c r="K12" s="12">
        <f ca="1" xml:space="preserve"> SUMIF( Time!$J332:$BQ332, Time!K$28, Cashflow!$J12:$BQ12)</f>
        <v>399928.158769492</v>
      </c>
      <c r="L12" s="12">
        <f ca="1" xml:space="preserve"> SUMIF( Time!$J332:$BQ332, Time!L$28, Cashflow!$J12:$BQ12)</f>
        <v>688563.26161500067</v>
      </c>
      <c r="M12" s="12">
        <f ca="1" xml:space="preserve"> SUMIF( Time!$J332:$BQ332, Time!M$28, Cashflow!$J12:$BQ12)</f>
        <v>371196.5494289319</v>
      </c>
      <c r="N12" s="12">
        <f ca="1" xml:space="preserve"> SUMIF( Time!$J332:$BQ332, Time!N$28, Cashflow!$J12:$BQ12)</f>
        <v>2536339.7889985214</v>
      </c>
      <c r="O12" s="12">
        <f ca="1" xml:space="preserve"> SUMIF( Time!$J332:$BQ332, Time!O$28, Cashflow!$J12:$BQ12)</f>
        <v>2593402.2896293099</v>
      </c>
      <c r="P12" s="12">
        <f ca="1" xml:space="preserve"> SUMIF( Time!$J332:$BQ332, Time!P$28, Cashflow!$J12:$BQ12)</f>
        <v>822012.76172493515</v>
      </c>
      <c r="Q12" s="12">
        <f ca="1" xml:space="preserve"> SUMIF( Time!$J332:$BQ332, Time!Q$28, Cashflow!$J12:$BQ12)</f>
        <v>123160.29265981563</v>
      </c>
      <c r="R12" s="12">
        <f ca="1" xml:space="preserve"> SUMIF( Time!$J332:$BQ332, Time!R$28, Cashflow!$J12:$BQ12)</f>
        <v>4527004.5001588408</v>
      </c>
      <c r="S12" s="12">
        <f ca="1" xml:space="preserve"> SUMIF( Time!$J332:$BQ332, Time!S$28, Cashflow!$J12:$BQ12)</f>
        <v>4515330.1099254359</v>
      </c>
      <c r="T12" s="12">
        <f ca="1" xml:space="preserve"> SUMIF( Time!$J332:$BQ332, Time!T$28, Cashflow!$J12:$BQ12)</f>
        <v>3869763.5216229316</v>
      </c>
      <c r="U12" s="12">
        <f ca="1" xml:space="preserve"> SUMIF( Time!$J332:$BQ332, Time!U$28, Cashflow!$J12:$BQ12)</f>
        <v>4015892.5343457665</v>
      </c>
      <c r="V12" s="12">
        <f ca="1" xml:space="preserve"> SUMIF( Time!$J332:$BQ332, Time!V$28, Cashflow!$J12:$BQ12)</f>
        <v>7536155.0831560921</v>
      </c>
      <c r="W12" s="12">
        <f ca="1" xml:space="preserve"> SUMIF( Time!$J332:$BQ332, Time!W$28, Cashflow!$J12:$BQ12)</f>
        <v>8116469.5656384695</v>
      </c>
      <c r="X12" s="12">
        <f ca="1" xml:space="preserve"> SUMIF( Time!$J332:$BQ332, Time!X$28, Cashflow!$J12:$BQ12)</f>
        <v>13145901.243208911</v>
      </c>
      <c r="Y12" s="12">
        <f ca="1" xml:space="preserve"> SUMIF( Time!$J332:$BQ332, Time!Y$28, Cashflow!$J12:$BQ12)</f>
        <v>15841279.255204288</v>
      </c>
      <c r="Z12" s="12">
        <f ca="1" xml:space="preserve"> SUMIF( Time!$J332:$BQ332, Time!Z$28, Cashflow!$J12:$BQ12)</f>
        <v>19087163.531777862</v>
      </c>
      <c r="AA12" s="12">
        <f ca="1" xml:space="preserve"> SUMIF( Time!$J332:$BQ332, Time!AA$28, Cashflow!$J12:$BQ12)</f>
        <v>15711356.033274669</v>
      </c>
      <c r="AB12" s="12">
        <f ca="1" xml:space="preserve"> SUMIF( Time!$J332:$BQ332, Time!AB$28, Cashflow!$J12:$BQ12)</f>
        <v>27901619.605939358</v>
      </c>
      <c r="AC12" s="12">
        <f ca="1" xml:space="preserve"> SUMIF( Time!$J332:$BQ332, Time!AC$28, Cashflow!$J12:$BQ12)</f>
        <v>33331556.928076163</v>
      </c>
    </row>
    <row r="14" spans="1:2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Time!$J332:$BQ332, Time!J$28, 'Working Capital'!$J15:$BQ15)</f>
        <v>-105000</v>
      </c>
      <c r="K14" s="10">
        <f ca="1" xml:space="preserve"> SUMIF( Time!$J332:$BQ332, Time!K$28, 'Working Capital'!$J15:$BQ15)</f>
        <v>-210000</v>
      </c>
      <c r="L14" s="10">
        <f ca="1" xml:space="preserve"> SUMIF( Time!$J332:$BQ332, Time!L$28, 'Working Capital'!$J15:$BQ15)</f>
        <v>-503999.99999999994</v>
      </c>
      <c r="M14" s="10">
        <f ca="1" xml:space="preserve"> SUMIF( Time!$J332:$BQ332, Time!M$28, 'Working Capital'!$J15:$BQ15)</f>
        <v>-587999.99999999988</v>
      </c>
      <c r="N14" s="10">
        <f ca="1" xml:space="preserve"> SUMIF( Time!$J332:$BQ332, Time!N$28, 'Working Capital'!$J15:$BQ15)</f>
        <v>-587999.99999999988</v>
      </c>
      <c r="O14" s="10">
        <f ca="1" xml:space="preserve"> SUMIF( Time!$J332:$BQ332, Time!O$28, 'Working Capital'!$J15:$BQ15)</f>
        <v>-157500</v>
      </c>
      <c r="P14" s="10">
        <f ca="1" xml:space="preserve"> SUMIF( Time!$J332:$BQ332, Time!P$28, 'Working Capital'!$J15:$BQ15)</f>
        <v>-262500</v>
      </c>
      <c r="Q14" s="10">
        <f ca="1" xml:space="preserve"> SUMIF( Time!$J332:$BQ332, Time!Q$28, 'Working Capital'!$J15:$BQ15)</f>
        <v>-755999.99999999988</v>
      </c>
      <c r="R14" s="10">
        <f ca="1" xml:space="preserve"> SUMIF( Time!$J332:$BQ332, Time!R$28, 'Working Capital'!$J15:$BQ15)</f>
        <v>-1102499.9999999998</v>
      </c>
      <c r="S14" s="10">
        <f ca="1" xml:space="preserve"> SUMIF( Time!$J332:$BQ332, Time!S$28, 'Working Capital'!$J15:$BQ15)</f>
        <v>-1354499.9999999998</v>
      </c>
      <c r="T14" s="10">
        <f ca="1" xml:space="preserve"> SUMIF( Time!$J332:$BQ332, Time!T$28, 'Working Capital'!$J15:$BQ15)</f>
        <v>-1659000</v>
      </c>
      <c r="U14" s="10">
        <f ca="1" xml:space="preserve"> SUMIF( Time!$J332:$BQ332, Time!U$28, 'Working Capital'!$J15:$BQ15)</f>
        <v>-2058000</v>
      </c>
      <c r="V14" s="10">
        <f ca="1" xml:space="preserve"> SUMIF( Time!$J332:$BQ332, Time!V$28, 'Working Capital'!$J15:$BQ15)</f>
        <v>-2656499.9999999995</v>
      </c>
      <c r="W14" s="10">
        <f ca="1" xml:space="preserve"> SUMIF( Time!$J332:$BQ332, Time!W$28, 'Working Capital'!$J15:$BQ15)</f>
        <v>-3108000</v>
      </c>
      <c r="X14" s="10">
        <f ca="1" xml:space="preserve"> SUMIF( Time!$J332:$BQ332, Time!X$28, 'Working Capital'!$J15:$BQ15)</f>
        <v>-3706500</v>
      </c>
      <c r="Y14" s="10">
        <f ca="1" xml:space="preserve"> SUMIF( Time!$J332:$BQ332, Time!Y$28, 'Working Capital'!$J15:$BQ15)</f>
        <v>-4410000</v>
      </c>
      <c r="Z14" s="10">
        <f ca="1" xml:space="preserve"> SUMIF( Time!$J332:$BQ332, Time!Z$28, 'Working Capital'!$J15:$BQ15)</f>
        <v>-5113500</v>
      </c>
      <c r="AA14" s="10">
        <f ca="1" xml:space="preserve"> SUMIF( Time!$J332:$BQ332, Time!AA$28, 'Working Capital'!$J15:$BQ15)</f>
        <v>-6163500</v>
      </c>
      <c r="AB14" s="10">
        <f ca="1" xml:space="preserve"> SUMIF( Time!$J332:$BQ332, Time!AB$28, 'Working Capital'!$J15:$BQ15)</f>
        <v>-7318500</v>
      </c>
      <c r="AC14" s="10">
        <f ca="1" xml:space="preserve"> SUMIF( Time!$J332:$BQ332, Time!AC$28, 'Working Capital'!$J15:$BQ15)</f>
        <v>-8620500</v>
      </c>
    </row>
    <row r="15" spans="1:29">
      <c r="E15" s="12" t="s">
        <v>19</v>
      </c>
      <c r="F15" s="30"/>
      <c r="G15" s="12" t="s">
        <v>258</v>
      </c>
      <c r="H15" s="56">
        <f ca="1" xml:space="preserve"> SUM( J15:BQ15 )</f>
        <v>114479155.01515479</v>
      </c>
      <c r="I15" s="30"/>
      <c r="J15" s="12">
        <f ca="1" xml:space="preserve"> SUMIF( Time!$J332:$BQ332, Time!J$28, Cashflow!$J15:$BQ15)</f>
        <v>-317940</v>
      </c>
      <c r="K15" s="12">
        <f ca="1" xml:space="preserve"> SUMIF( Time!$J332:$BQ332, Time!K$28, Cashflow!$J15:$BQ15)</f>
        <v>189928.158769492</v>
      </c>
      <c r="L15" s="12">
        <f ca="1" xml:space="preserve"> SUMIF( Time!$J332:$BQ332, Time!L$28, Cashflow!$J15:$BQ15)</f>
        <v>184563.26161500067</v>
      </c>
      <c r="M15" s="12">
        <f ca="1" xml:space="preserve"> SUMIF( Time!$J332:$BQ332, Time!M$28, Cashflow!$J15:$BQ15)</f>
        <v>-216803.45057106798</v>
      </c>
      <c r="N15" s="12">
        <f ca="1" xml:space="preserve"> SUMIF( Time!$J332:$BQ332, Time!N$28, Cashflow!$J15:$BQ15)</f>
        <v>1948339.7889985214</v>
      </c>
      <c r="O15" s="12">
        <f ca="1" xml:space="preserve"> SUMIF( Time!$J332:$BQ332, Time!O$28, Cashflow!$J15:$BQ15)</f>
        <v>2435902.2896293099</v>
      </c>
      <c r="P15" s="12">
        <f ca="1" xml:space="preserve"> SUMIF( Time!$J332:$BQ332, Time!P$28, Cashflow!$J15:$BQ15)</f>
        <v>559512.76172493515</v>
      </c>
      <c r="Q15" s="12">
        <f ca="1" xml:space="preserve"> SUMIF( Time!$J332:$BQ332, Time!Q$28, Cashflow!$J15:$BQ15)</f>
        <v>-632839.70734018437</v>
      </c>
      <c r="R15" s="12">
        <f ca="1" xml:space="preserve"> SUMIF( Time!$J332:$BQ332, Time!R$28, Cashflow!$J15:$BQ15)</f>
        <v>3424504.5001588403</v>
      </c>
      <c r="S15" s="12">
        <f ca="1" xml:space="preserve"> SUMIF( Time!$J332:$BQ332, Time!S$28, Cashflow!$J15:$BQ15)</f>
        <v>3160830.1099254359</v>
      </c>
      <c r="T15" s="12">
        <f ca="1" xml:space="preserve"> SUMIF( Time!$J332:$BQ332, Time!T$28, Cashflow!$J15:$BQ15)</f>
        <v>2210763.5216229321</v>
      </c>
      <c r="U15" s="12">
        <f ca="1" xml:space="preserve"> SUMIF( Time!$J332:$BQ332, Time!U$28, Cashflow!$J15:$BQ15)</f>
        <v>1957892.5343457668</v>
      </c>
      <c r="V15" s="12">
        <f ca="1" xml:space="preserve"> SUMIF( Time!$J332:$BQ332, Time!V$28, Cashflow!$J15:$BQ15)</f>
        <v>4879655.0831560912</v>
      </c>
      <c r="W15" s="12">
        <f ca="1" xml:space="preserve"> SUMIF( Time!$J332:$BQ332, Time!W$28, Cashflow!$J15:$BQ15)</f>
        <v>5008469.5656384686</v>
      </c>
      <c r="X15" s="12">
        <f ca="1" xml:space="preserve"> SUMIF( Time!$J332:$BQ332, Time!X$28, Cashflow!$J15:$BQ15)</f>
        <v>9439401.2432089113</v>
      </c>
      <c r="Y15" s="12">
        <f ca="1" xml:space="preserve"> SUMIF( Time!$J332:$BQ332, Time!Y$28, Cashflow!$J15:$BQ15)</f>
        <v>11431279.255204288</v>
      </c>
      <c r="Z15" s="12">
        <f ca="1" xml:space="preserve"> SUMIF( Time!$J332:$BQ332, Time!Z$28, Cashflow!$J15:$BQ15)</f>
        <v>13973663.531777862</v>
      </c>
      <c r="AA15" s="12">
        <f ca="1" xml:space="preserve"> SUMIF( Time!$J332:$BQ332, Time!AA$28, Cashflow!$J15:$BQ15)</f>
        <v>9547856.0332746692</v>
      </c>
      <c r="AB15" s="12">
        <f ca="1" xml:space="preserve"> SUMIF( Time!$J332:$BQ332, Time!AB$28, Cashflow!$J15:$BQ15)</f>
        <v>20583119.605939358</v>
      </c>
      <c r="AC15" s="12">
        <f ca="1" xml:space="preserve"> SUMIF( Time!$J332:$BQ332, Time!AC$28, Cashflow!$J15:$BQ15)</f>
        <v>24711056.928076163</v>
      </c>
    </row>
    <row r="17" spans="5:2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Time!$J332:$BQ332, Time!J$28, 'Supply Chain finance'!$J22:$BQ22)</f>
        <v>280000</v>
      </c>
      <c r="K17" s="10">
        <f xml:space="preserve"> SUMIF( Time!$J332:$BQ332, Time!K$28, 'Supply Chain finance'!$J22:$BQ22)</f>
        <v>560000</v>
      </c>
      <c r="L17" s="10">
        <f xml:space="preserve"> SUMIF( Time!$J332:$BQ332, Time!L$28, 'Supply Chain finance'!$J22:$BQ22)</f>
        <v>560000</v>
      </c>
      <c r="M17" s="10">
        <f xml:space="preserve"> SUMIF( Time!$J332:$BQ332, Time!M$28, 'Supply Chain finance'!$J22:$BQ22)</f>
        <v>0</v>
      </c>
      <c r="N17" s="10">
        <f ca="1" xml:space="preserve"> SUMIF( Time!$J332:$BQ332, Time!N$28, 'Supply Chain finance'!$J22:$BQ22)</f>
        <v>0</v>
      </c>
      <c r="O17" s="10">
        <f ca="1" xml:space="preserve"> SUMIF( Time!$J332:$BQ332, Time!O$28, 'Supply Chain finance'!$J22:$BQ22)</f>
        <v>420000</v>
      </c>
      <c r="P17" s="10">
        <f ca="1" xml:space="preserve"> SUMIF( Time!$J332:$BQ332, Time!P$28, 'Supply Chain finance'!$J22:$BQ22)</f>
        <v>700000</v>
      </c>
      <c r="Q17" s="10">
        <f ca="1" xml:space="preserve"> SUMIF( Time!$J332:$BQ332, Time!Q$28, 'Supply Chain finance'!$J22:$BQ22)</f>
        <v>840000</v>
      </c>
      <c r="R17" s="10">
        <f ca="1" xml:space="preserve"> SUMIF( Time!$J332:$BQ332, Time!R$28, 'Supply Chain finance'!$J22:$BQ22)</f>
        <v>700000</v>
      </c>
      <c r="S17" s="10">
        <f ca="1" xml:space="preserve"> SUMIF( Time!$J332:$BQ332, Time!S$28, 'Supply Chain finance'!$J22:$BQ22)</f>
        <v>0</v>
      </c>
      <c r="T17" s="10">
        <f ca="1" xml:space="preserve"> SUMIF( Time!$J332:$BQ332, Time!T$28, 'Supply Chain finance'!$J22:$BQ22)</f>
        <v>0</v>
      </c>
      <c r="U17" s="10">
        <f ca="1" xml:space="preserve"> SUMIF( Time!$J332:$BQ332, Time!U$28, 'Supply Chain finance'!$J22:$BQ22)</f>
        <v>0</v>
      </c>
      <c r="V17" s="10">
        <f ca="1" xml:space="preserve"> SUMIF( Time!$J332:$BQ332, Time!V$28, 'Supply Chain finance'!$J22:$BQ22)</f>
        <v>0</v>
      </c>
      <c r="W17" s="10">
        <f ca="1" xml:space="preserve"> SUMIF( Time!$J332:$BQ332, Time!W$28, 'Supply Chain finance'!$J22:$BQ22)</f>
        <v>0</v>
      </c>
      <c r="X17" s="10">
        <f ca="1" xml:space="preserve"> SUMIF( Time!$J332:$BQ332, Time!X$28, 'Supply Chain finance'!$J22:$BQ22)</f>
        <v>0</v>
      </c>
      <c r="Y17" s="10">
        <f ca="1" xml:space="preserve"> SUMIF( Time!$J332:$BQ332, Time!Y$28, 'Supply Chain finance'!$J22:$BQ22)</f>
        <v>0</v>
      </c>
      <c r="Z17" s="10">
        <f ca="1" xml:space="preserve"> SUMIF( Time!$J332:$BQ332, Time!Z$28, 'Supply Chain finance'!$J22:$BQ22)</f>
        <v>0</v>
      </c>
      <c r="AA17" s="10">
        <f ca="1" xml:space="preserve"> SUMIF( Time!$J332:$BQ332, Time!AA$28, 'Supply Chain finance'!$J22:$BQ22)</f>
        <v>0</v>
      </c>
      <c r="AB17" s="10">
        <f ca="1" xml:space="preserve"> SUMIF( Time!$J332:$BQ332, Time!AB$28, 'Supply Chain finance'!$J22:$BQ22)</f>
        <v>0</v>
      </c>
      <c r="AC17" s="10">
        <f ca="1" xml:space="preserve"> SUMIF( Time!$J332:$BQ332, Time!AC$28, 'Supply Chain finance'!$J22:$BQ22)</f>
        <v>0</v>
      </c>
    </row>
    <row r="18" spans="5:2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Time!$J332:$BQ332, Time!J$28, 'Supply Chain finance'!$J29:$BQ29)</f>
        <v>0</v>
      </c>
      <c r="K18" s="10">
        <f ca="1" xml:space="preserve"> SUMIF( Time!$J332:$BQ332, Time!K$28, 'Supply Chain finance'!$J29:$BQ29)</f>
        <v>0</v>
      </c>
      <c r="L18" s="10">
        <f ca="1" xml:space="preserve"> SUMIF( Time!$J332:$BQ332, Time!L$28, 'Supply Chain finance'!$J29:$BQ29)</f>
        <v>-280000</v>
      </c>
      <c r="M18" s="10">
        <f ca="1" xml:space="preserve"> SUMIF( Time!$J332:$BQ332, Time!M$28, 'Supply Chain finance'!$J29:$BQ29)</f>
        <v>-560000</v>
      </c>
      <c r="N18" s="10">
        <f ca="1" xml:space="preserve"> SUMIF( Time!$J332:$BQ332, Time!N$28, 'Supply Chain finance'!$J29:$BQ29)</f>
        <v>-560000</v>
      </c>
      <c r="O18" s="10">
        <f ca="1" xml:space="preserve"> SUMIF( Time!$J332:$BQ332, Time!O$28, 'Supply Chain finance'!$J29:$BQ29)</f>
        <v>0</v>
      </c>
      <c r="P18" s="10">
        <f ca="1" xml:space="preserve"> SUMIF( Time!$J332:$BQ332, Time!P$28, 'Supply Chain finance'!$J29:$BQ29)</f>
        <v>0</v>
      </c>
      <c r="Q18" s="10">
        <f ca="1" xml:space="preserve"> SUMIF( Time!$J332:$BQ332, Time!Q$28, 'Supply Chain finance'!$J29:$BQ29)</f>
        <v>-420000</v>
      </c>
      <c r="R18" s="10">
        <f ca="1" xml:space="preserve"> SUMIF( Time!$J332:$BQ332, Time!R$28, 'Supply Chain finance'!$J29:$BQ29)</f>
        <v>-700000</v>
      </c>
      <c r="S18" s="10">
        <f ca="1" xml:space="preserve"> SUMIF( Time!$J332:$BQ332, Time!S$28, 'Supply Chain finance'!$J29:$BQ29)</f>
        <v>-840000</v>
      </c>
      <c r="T18" s="10">
        <f ca="1" xml:space="preserve"> SUMIF( Time!$J332:$BQ332, Time!T$28, 'Supply Chain finance'!$J29:$BQ29)</f>
        <v>-700000</v>
      </c>
      <c r="U18" s="10">
        <f ca="1" xml:space="preserve"> SUMIF( Time!$J332:$BQ332, Time!U$28, 'Supply Chain finance'!$J29:$BQ29)</f>
        <v>0</v>
      </c>
      <c r="V18" s="10">
        <f ca="1" xml:space="preserve"> SUMIF( Time!$J332:$BQ332, Time!V$28, 'Supply Chain finance'!$J29:$BQ29)</f>
        <v>0</v>
      </c>
      <c r="W18" s="10">
        <f ca="1" xml:space="preserve"> SUMIF( Time!$J332:$BQ332, Time!W$28, 'Supply Chain finance'!$J29:$BQ29)</f>
        <v>0</v>
      </c>
      <c r="X18" s="10">
        <f ca="1" xml:space="preserve"> SUMIF( Time!$J332:$BQ332, Time!X$28, 'Supply Chain finance'!$J29:$BQ29)</f>
        <v>0</v>
      </c>
      <c r="Y18" s="10">
        <f ca="1" xml:space="preserve"> SUMIF( Time!$J332:$BQ332, Time!Y$28, 'Supply Chain finance'!$J29:$BQ29)</f>
        <v>0</v>
      </c>
      <c r="Z18" s="10">
        <f ca="1" xml:space="preserve"> SUMIF( Time!$J332:$BQ332, Time!Z$28, 'Supply Chain finance'!$J29:$BQ29)</f>
        <v>0</v>
      </c>
      <c r="AA18" s="10">
        <f ca="1" xml:space="preserve"> SUMIF( Time!$J332:$BQ332, Time!AA$28, 'Supply Chain finance'!$J29:$BQ29)</f>
        <v>0</v>
      </c>
      <c r="AB18" s="10">
        <f ca="1" xml:space="preserve"> SUMIF( Time!$J332:$BQ332, Time!AB$28, 'Supply Chain finance'!$J29:$BQ29)</f>
        <v>0</v>
      </c>
      <c r="AC18" s="10">
        <f ca="1" xml:space="preserve"> SUMIF( Time!$J332:$BQ332, Time!AC$28, 'Supply Chain finance'!$J29:$BQ29)</f>
        <v>0</v>
      </c>
    </row>
    <row r="19" spans="5:2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Time!$J332:$BQ332, Time!J$28, 'Invoice finance'!$J21:$BQ21)</f>
        <v>64800</v>
      </c>
      <c r="K19" s="10">
        <f ca="1" xml:space="preserve"> SUMIF( Time!$J332:$BQ332, Time!K$28, 'Invoice finance'!$J21:$BQ21)</f>
        <v>189000</v>
      </c>
      <c r="L19" s="10">
        <f ca="1" xml:space="preserve"> SUMIF( Time!$J332:$BQ332, Time!L$28, 'Invoice finance'!$J21:$BQ21)</f>
        <v>469800</v>
      </c>
      <c r="M19" s="10">
        <f ca="1" xml:space="preserve"> SUMIF( Time!$J332:$BQ332, Time!M$28, 'Invoice finance'!$J21:$BQ21)</f>
        <v>783000</v>
      </c>
      <c r="N19" s="10">
        <f ca="1" xml:space="preserve"> SUMIF( Time!$J332:$BQ332, Time!N$28, 'Invoice finance'!$J21:$BQ21)</f>
        <v>1401811.0070954019</v>
      </c>
      <c r="O19" s="10">
        <f ca="1" xml:space="preserve"> SUMIF( Time!$J332:$BQ332, Time!O$28, 'Invoice finance'!$J21:$BQ21)</f>
        <v>1850641.141914255</v>
      </c>
      <c r="P19" s="10">
        <f ca="1" xml:space="preserve"> SUMIF( Time!$J332:$BQ332, Time!P$28, 'Invoice finance'!$J21:$BQ21)</f>
        <v>1863000</v>
      </c>
      <c r="Q19" s="10">
        <f ca="1" xml:space="preserve"> SUMIF( Time!$J332:$BQ332, Time!Q$28, 'Invoice finance'!$J21:$BQ21)</f>
        <v>2025000</v>
      </c>
      <c r="R19" s="10">
        <f ca="1" xml:space="preserve"> SUMIF( Time!$J332:$BQ332, Time!R$28, 'Invoice finance'!$J21:$BQ21)</f>
        <v>1641600</v>
      </c>
      <c r="S19" s="10">
        <f ca="1" xml:space="preserve"> SUMIF( Time!$J332:$BQ332, Time!S$28, 'Invoice finance'!$J21:$BQ21)</f>
        <v>0</v>
      </c>
      <c r="T19" s="10">
        <f ca="1" xml:space="preserve"> SUMIF( Time!$J332:$BQ332, Time!T$28, 'Invoice finance'!$J21:$BQ21)</f>
        <v>0</v>
      </c>
      <c r="U19" s="10">
        <f ca="1" xml:space="preserve"> SUMIF( Time!$J332:$BQ332, Time!U$28, 'Invoice finance'!$J21:$BQ21)</f>
        <v>0</v>
      </c>
      <c r="V19" s="10">
        <f ca="1" xml:space="preserve"> SUMIF( Time!$J332:$BQ332, Time!V$28, 'Invoice finance'!$J21:$BQ21)</f>
        <v>0</v>
      </c>
      <c r="W19" s="10">
        <f ca="1" xml:space="preserve"> SUMIF( Time!$J332:$BQ332, Time!W$28, 'Invoice finance'!$J21:$BQ21)</f>
        <v>0</v>
      </c>
      <c r="X19" s="10">
        <f ca="1" xml:space="preserve"> SUMIF( Time!$J332:$BQ332, Time!X$28, 'Invoice finance'!$J21:$BQ21)</f>
        <v>0</v>
      </c>
      <c r="Y19" s="10">
        <f ca="1" xml:space="preserve"> SUMIF( Time!$J332:$BQ332, Time!Y$28, 'Invoice finance'!$J21:$BQ21)</f>
        <v>0</v>
      </c>
      <c r="Z19" s="10">
        <f ca="1" xml:space="preserve"> SUMIF( Time!$J332:$BQ332, Time!Z$28, 'Invoice finance'!$J21:$BQ21)</f>
        <v>0</v>
      </c>
      <c r="AA19" s="10">
        <f ca="1" xml:space="preserve"> SUMIF( Time!$J332:$BQ332, Time!AA$28, 'Invoice finance'!$J21:$BQ21)</f>
        <v>0</v>
      </c>
      <c r="AB19" s="10">
        <f ca="1" xml:space="preserve"> SUMIF( Time!$J332:$BQ332, Time!AB$28, 'Invoice finance'!$J21:$BQ21)</f>
        <v>0</v>
      </c>
      <c r="AC19" s="10">
        <f ca="1" xml:space="preserve"> SUMIF( Time!$J332:$BQ332, Time!AC$28, 'Invoice finance'!$J21:$BQ21)</f>
        <v>0</v>
      </c>
    </row>
    <row r="20" spans="5:2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Time!$J332:$BQ332, Time!J$28, 'Invoice finance'!$J28:$BQ28)</f>
        <v>0</v>
      </c>
      <c r="K20" s="10">
        <f ca="1" xml:space="preserve"> SUMIF( Time!$J332:$BQ332, Time!K$28, 'Invoice finance'!$J28:$BQ28)</f>
        <v>-113400</v>
      </c>
      <c r="L20" s="10">
        <f ca="1" xml:space="preserve"> SUMIF( Time!$J332:$BQ332, Time!L$28, 'Invoice finance'!$J28:$BQ28)</f>
        <v>-264600</v>
      </c>
      <c r="M20" s="10">
        <f ca="1" xml:space="preserve"> SUMIF( Time!$J332:$BQ332, Time!M$28, 'Invoice finance'!$J28:$BQ28)</f>
        <v>-534600</v>
      </c>
      <c r="N20" s="10">
        <f ca="1" xml:space="preserve"> SUMIF( Time!$J332:$BQ332, Time!N$28, 'Invoice finance'!$J28:$BQ28)</f>
        <v>-999000</v>
      </c>
      <c r="O20" s="10">
        <f ca="1" xml:space="preserve"> SUMIF( Time!$J332:$BQ332, Time!O$28, 'Invoice finance'!$J28:$BQ28)</f>
        <v>-1605452.1490096571</v>
      </c>
      <c r="P20" s="10">
        <f ca="1" xml:space="preserve"> SUMIF( Time!$J332:$BQ332, Time!P$28, 'Invoice finance'!$J28:$BQ28)</f>
        <v>-1863000</v>
      </c>
      <c r="Q20" s="10">
        <f ca="1" xml:space="preserve"> SUMIF( Time!$J332:$BQ332, Time!Q$28, 'Invoice finance'!$J28:$BQ28)</f>
        <v>-1863000</v>
      </c>
      <c r="R20" s="10">
        <f ca="1" xml:space="preserve"> SUMIF( Time!$J332:$BQ332, Time!R$28, 'Invoice finance'!$J28:$BQ28)</f>
        <v>-2176200</v>
      </c>
      <c r="S20" s="10">
        <f ca="1" xml:space="preserve"> SUMIF( Time!$J332:$BQ332, Time!S$28, 'Invoice finance'!$J28:$BQ28)</f>
        <v>-869400</v>
      </c>
      <c r="T20" s="10">
        <f ca="1" xml:space="preserve"> SUMIF( Time!$J332:$BQ332, Time!T$28, 'Invoice finance'!$J28:$BQ28)</f>
        <v>0</v>
      </c>
      <c r="U20" s="10">
        <f ca="1" xml:space="preserve"> SUMIF( Time!$J332:$BQ332, Time!U$28, 'Invoice finance'!$J28:$BQ28)</f>
        <v>0</v>
      </c>
      <c r="V20" s="10">
        <f ca="1" xml:space="preserve"> SUMIF( Time!$J332:$BQ332, Time!V$28, 'Invoice finance'!$J28:$BQ28)</f>
        <v>0</v>
      </c>
      <c r="W20" s="10">
        <f ca="1" xml:space="preserve"> SUMIF( Time!$J332:$BQ332, Time!W$28, 'Invoice finance'!$J28:$BQ28)</f>
        <v>0</v>
      </c>
      <c r="X20" s="10">
        <f ca="1" xml:space="preserve"> SUMIF( Time!$J332:$BQ332, Time!X$28, 'Invoice finance'!$J28:$BQ28)</f>
        <v>0</v>
      </c>
      <c r="Y20" s="10">
        <f ca="1" xml:space="preserve"> SUMIF( Time!$J332:$BQ332, Time!Y$28, 'Invoice finance'!$J28:$BQ28)</f>
        <v>0</v>
      </c>
      <c r="Z20" s="10">
        <f ca="1" xml:space="preserve"> SUMIF( Time!$J332:$BQ332, Time!Z$28, 'Invoice finance'!$J28:$BQ28)</f>
        <v>0</v>
      </c>
      <c r="AA20" s="10">
        <f ca="1" xml:space="preserve"> SUMIF( Time!$J332:$BQ332, Time!AA$28, 'Invoice finance'!$J28:$BQ28)</f>
        <v>0</v>
      </c>
      <c r="AB20" s="10">
        <f ca="1" xml:space="preserve"> SUMIF( Time!$J332:$BQ332, Time!AB$28, 'Invoice finance'!$J28:$BQ28)</f>
        <v>0</v>
      </c>
      <c r="AC20" s="10">
        <f ca="1" xml:space="preserve"> SUMIF( Time!$J332:$BQ332, Time!AC$28, 'Invoice finance'!$J28:$BQ28)</f>
        <v>0</v>
      </c>
    </row>
    <row r="21" spans="5:2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Time!$J332:$BQ332, Time!J$28, 'Asset Finance'!$J22:$BQ22)</f>
        <v>175000</v>
      </c>
      <c r="K21" s="10">
        <f ca="1" xml:space="preserve"> SUMIF( Time!$J332:$BQ332, Time!K$28, 'Asset Finance'!$J22:$BQ22)</f>
        <v>350000</v>
      </c>
      <c r="L21" s="10">
        <f ca="1" xml:space="preserve"> SUMIF( Time!$J332:$BQ332, Time!L$28, 'Asset Finance'!$J22:$BQ22)</f>
        <v>0</v>
      </c>
      <c r="M21" s="10">
        <f ca="1" xml:space="preserve"> SUMIF( Time!$J332:$BQ332, Time!M$28, 'Asset Finance'!$J22:$BQ22)</f>
        <v>700000</v>
      </c>
      <c r="N21" s="10">
        <f ca="1" xml:space="preserve"> SUMIF( Time!$J332:$BQ332, Time!N$28, 'Asset Finance'!$J22:$BQ22)</f>
        <v>700000</v>
      </c>
      <c r="O21" s="10">
        <f ca="1" xml:space="preserve"> SUMIF( Time!$J332:$BQ332, Time!O$28, 'Asset Finance'!$J22:$BQ22)</f>
        <v>0</v>
      </c>
      <c r="P21" s="10">
        <f ca="1" xml:space="preserve"> SUMIF( Time!$J332:$BQ332, Time!P$28, 'Asset Finance'!$J22:$BQ22)</f>
        <v>0</v>
      </c>
      <c r="Q21" s="10">
        <f ca="1" xml:space="preserve"> SUMIF( Time!$J332:$BQ332, Time!Q$28, 'Asset Finance'!$J22:$BQ22)</f>
        <v>525000</v>
      </c>
      <c r="R21" s="10">
        <f ca="1" xml:space="preserve"> SUMIF( Time!$J332:$BQ332, Time!R$28, 'Asset Finance'!$J22:$BQ22)</f>
        <v>0</v>
      </c>
      <c r="S21" s="10">
        <f ca="1" xml:space="preserve"> SUMIF( Time!$J332:$BQ332, Time!S$28, 'Asset Finance'!$J22:$BQ22)</f>
        <v>0</v>
      </c>
      <c r="T21" s="10">
        <f ca="1" xml:space="preserve"> SUMIF( Time!$J332:$BQ332, Time!T$28, 'Asset Finance'!$J22:$BQ22)</f>
        <v>0</v>
      </c>
      <c r="U21" s="10">
        <f ca="1" xml:space="preserve"> SUMIF( Time!$J332:$BQ332, Time!U$28, 'Asset Finance'!$J22:$BQ22)</f>
        <v>0</v>
      </c>
      <c r="V21" s="10">
        <f ca="1" xml:space="preserve"> SUMIF( Time!$J332:$BQ332, Time!V$28, 'Asset Finance'!$J22:$BQ22)</f>
        <v>0</v>
      </c>
      <c r="W21" s="10">
        <f ca="1" xml:space="preserve"> SUMIF( Time!$J332:$BQ332, Time!W$28, 'Asset Finance'!$J22:$BQ22)</f>
        <v>0</v>
      </c>
      <c r="X21" s="10">
        <f ca="1" xml:space="preserve"> SUMIF( Time!$J332:$BQ332, Time!X$28, 'Asset Finance'!$J22:$BQ22)</f>
        <v>0</v>
      </c>
      <c r="Y21" s="10">
        <f ca="1" xml:space="preserve"> SUMIF( Time!$J332:$BQ332, Time!Y$28, 'Asset Finance'!$J22:$BQ22)</f>
        <v>0</v>
      </c>
      <c r="Z21" s="10">
        <f ca="1" xml:space="preserve"> SUMIF( Time!$J332:$BQ332, Time!Z$28, 'Asset Finance'!$J22:$BQ22)</f>
        <v>0</v>
      </c>
      <c r="AA21" s="10">
        <f ca="1" xml:space="preserve"> SUMIF( Time!$J332:$BQ332, Time!AA$28, 'Asset Finance'!$J22:$BQ22)</f>
        <v>0</v>
      </c>
      <c r="AB21" s="10">
        <f ca="1" xml:space="preserve"> SUMIF( Time!$J332:$BQ332, Time!AB$28, 'Asset Finance'!$J22:$BQ22)</f>
        <v>0</v>
      </c>
      <c r="AC21" s="10">
        <f ca="1" xml:space="preserve"> SUMIF( Time!$J332:$BQ332, Time!AC$28, 'Asset Finance'!$J22:$BQ22)</f>
        <v>0</v>
      </c>
    </row>
    <row r="22" spans="5:2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Time!$J332:$BQ332, Time!J$28, 'Asset Finance'!$J29:$BQ29)</f>
        <v>-7291.666666666667</v>
      </c>
      <c r="K22" s="10">
        <f ca="1" xml:space="preserve"> SUMIF( Time!$J332:$BQ332, Time!K$28, 'Asset Finance'!$J29:$BQ29)</f>
        <v>-20102.192443094136</v>
      </c>
      <c r="L22" s="10">
        <f ca="1" xml:space="preserve"> SUMIF( Time!$J332:$BQ332, Time!L$28, 'Asset Finance'!$J29:$BQ29)</f>
        <v>-59645.064775399769</v>
      </c>
      <c r="M22" s="10">
        <f ca="1" xml:space="preserve"> SUMIF( Time!$J332:$BQ332, Time!M$28, 'Asset Finance'!$J29:$BQ29)</f>
        <v>-81054.796232804467</v>
      </c>
      <c r="N22" s="10">
        <f ca="1" xml:space="preserve"> SUMIF( Time!$J332:$BQ332, Time!N$28, 'Asset Finance'!$J29:$BQ29)</f>
        <v>-155244.04700264268</v>
      </c>
      <c r="O22" s="10">
        <f ca="1" xml:space="preserve"> SUMIF( Time!$J332:$BQ332, Time!O$28, 'Asset Finance'!$J29:$BQ29)</f>
        <v>-191981.64929695847</v>
      </c>
      <c r="P22" s="10">
        <f ca="1" xml:space="preserve"> SUMIF( Time!$J332:$BQ332, Time!P$28, 'Asset Finance'!$J29:$BQ29)</f>
        <v>-168969.95999682389</v>
      </c>
      <c r="Q22" s="10">
        <f ca="1" xml:space="preserve"> SUMIF( Time!$J332:$BQ332, Time!Q$28, 'Asset Finance'!$J29:$BQ29)</f>
        <v>-170287.72448505179</v>
      </c>
      <c r="R22" s="10">
        <f ca="1" xml:space="preserve"> SUMIF( Time!$J332:$BQ332, Time!R$28, 'Asset Finance'!$J29:$BQ29)</f>
        <v>-191233.77776400646</v>
      </c>
      <c r="S22" s="10">
        <f ca="1" xml:space="preserve"> SUMIF( Time!$J332:$BQ332, Time!S$28, 'Asset Finance'!$J29:$BQ29)</f>
        <v>-168311.73134076002</v>
      </c>
      <c r="T22" s="10">
        <f ca="1" xml:space="preserve"> SUMIF( Time!$J332:$BQ332, Time!T$28, 'Asset Finance'!$J29:$BQ29)</f>
        <v>-148137.21319611018</v>
      </c>
      <c r="U22" s="10">
        <f ca="1" xml:space="preserve"> SUMIF( Time!$J332:$BQ332, Time!U$28, 'Asset Finance'!$J29:$BQ29)</f>
        <v>-130380.8935877512</v>
      </c>
      <c r="V22" s="10">
        <f ca="1" xml:space="preserve"> SUMIF( Time!$J332:$BQ332, Time!V$28, 'Asset Finance'!$J29:$BQ29)</f>
        <v>-114752.91755513375</v>
      </c>
      <c r="W22" s="10">
        <f ca="1" xml:space="preserve"> SUMIF( Time!$J332:$BQ332, Time!W$28, 'Asset Finance'!$J29:$BQ29)</f>
        <v>-100998.17331404168</v>
      </c>
      <c r="X22" s="10">
        <f ca="1" xml:space="preserve"> SUMIF( Time!$J332:$BQ332, Time!X$28, 'Asset Finance'!$J29:$BQ29)</f>
        <v>-88892.127800343267</v>
      </c>
      <c r="Y22" s="10">
        <f ca="1" xml:space="preserve"> SUMIF( Time!$J332:$BQ332, Time!Y$28, 'Asset Finance'!$J29:$BQ29)</f>
        <v>-78237.161382145292</v>
      </c>
      <c r="Z22" s="10">
        <f ca="1" xml:space="preserve"> SUMIF( Time!$J332:$BQ332, Time!Z$28, 'Asset Finance'!$J29:$BQ29)</f>
        <v>-68859.341908026749</v>
      </c>
      <c r="AA22" s="10">
        <f ca="1" xml:space="preserve"> SUMIF( Time!$J332:$BQ332, Time!AA$28, 'Asset Finance'!$J29:$BQ29)</f>
        <v>-60605.585430769774</v>
      </c>
      <c r="AB22" s="10">
        <f ca="1" xml:space="preserve"> SUMIF( Time!$J332:$BQ332, Time!AB$28, 'Asset Finance'!$J29:$BQ29)</f>
        <v>-53341.157258114574</v>
      </c>
      <c r="AC22" s="10">
        <f ca="1" xml:space="preserve"> SUMIF( Time!$J332:$BQ332, Time!AC$28, 'Asset Finance'!$J29:$BQ29)</f>
        <v>-46947.472537578127</v>
      </c>
    </row>
    <row r="23" spans="5:2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Time!$J332:$BQ332, Time!J$28, 'Supply Chain finance'!$J48:$BQ48)</f>
        <v>0</v>
      </c>
      <c r="K23" s="10">
        <f ca="1" xml:space="preserve"> SUMIF( Time!$J332:$BQ332, Time!K$28, 'Supply Chain finance'!$J48:$BQ48)</f>
        <v>-11200</v>
      </c>
      <c r="L23" s="10">
        <f ca="1" xml:space="preserve"> SUMIF( Time!$J332:$BQ332, Time!L$28, 'Supply Chain finance'!$J48:$BQ48)</f>
        <v>-20533.333333333336</v>
      </c>
      <c r="M23" s="10">
        <f ca="1" xml:space="preserve"> SUMIF( Time!$J332:$BQ332, Time!M$28, 'Supply Chain finance'!$J48:$BQ48)</f>
        <v>-16800</v>
      </c>
      <c r="N23" s="10">
        <f ca="1" xml:space="preserve"> SUMIF( Time!$J332:$BQ332, Time!N$28, 'Supply Chain finance'!$J48:$BQ48)</f>
        <v>-7466.666666666667</v>
      </c>
      <c r="O23" s="10">
        <f ca="1" xml:space="preserve"> SUMIF( Time!$J332:$BQ332, Time!O$28, 'Supply Chain finance'!$J48:$BQ48)</f>
        <v>-2800</v>
      </c>
      <c r="P23" s="10">
        <f ca="1" xml:space="preserve"> SUMIF( Time!$J332:$BQ332, Time!P$28, 'Supply Chain finance'!$J48:$BQ48)</f>
        <v>-14000</v>
      </c>
      <c r="Q23" s="10">
        <f ca="1" xml:space="preserve"> SUMIF( Time!$J332:$BQ332, Time!Q$28, 'Supply Chain finance'!$J48:$BQ48)</f>
        <v>-25200</v>
      </c>
      <c r="R23" s="10">
        <f ca="1" xml:space="preserve"> SUMIF( Time!$J332:$BQ332, Time!R$28, 'Supply Chain finance'!$J48:$BQ48)</f>
        <v>-31733.333333333336</v>
      </c>
      <c r="S23" s="10">
        <f ca="1" xml:space="preserve"> SUMIF( Time!$J332:$BQ332, Time!S$28, 'Supply Chain finance'!$J48:$BQ48)</f>
        <v>-25200</v>
      </c>
      <c r="T23" s="10">
        <f ca="1" xml:space="preserve"> SUMIF( Time!$J332:$BQ332, Time!T$28, 'Supply Chain finance'!$J48:$BQ48)</f>
        <v>-7466.666666666667</v>
      </c>
      <c r="U23" s="10">
        <f ca="1" xml:space="preserve"> SUMIF( Time!$J332:$BQ332, Time!U$28, 'Supply Chain finance'!$J48:$BQ48)</f>
        <v>0</v>
      </c>
      <c r="V23" s="10">
        <f ca="1" xml:space="preserve"> SUMIF( Time!$J332:$BQ332, Time!V$28, 'Supply Chain finance'!$J48:$BQ48)</f>
        <v>0</v>
      </c>
      <c r="W23" s="10">
        <f ca="1" xml:space="preserve"> SUMIF( Time!$J332:$BQ332, Time!W$28, 'Supply Chain finance'!$J48:$BQ48)</f>
        <v>0</v>
      </c>
      <c r="X23" s="10">
        <f ca="1" xml:space="preserve"> SUMIF( Time!$J332:$BQ332, Time!X$28, 'Supply Chain finance'!$J48:$BQ48)</f>
        <v>0</v>
      </c>
      <c r="Y23" s="10">
        <f ca="1" xml:space="preserve"> SUMIF( Time!$J332:$BQ332, Time!Y$28, 'Supply Chain finance'!$J48:$BQ48)</f>
        <v>0</v>
      </c>
      <c r="Z23" s="10">
        <f ca="1" xml:space="preserve"> SUMIF( Time!$J332:$BQ332, Time!Z$28, 'Supply Chain finance'!$J48:$BQ48)</f>
        <v>0</v>
      </c>
      <c r="AA23" s="10">
        <f ca="1" xml:space="preserve"> SUMIF( Time!$J332:$BQ332, Time!AA$28, 'Supply Chain finance'!$J48:$BQ48)</f>
        <v>0</v>
      </c>
      <c r="AB23" s="10">
        <f ca="1" xml:space="preserve"> SUMIF( Time!$J332:$BQ332, Time!AB$28, 'Supply Chain finance'!$J48:$BQ48)</f>
        <v>0</v>
      </c>
      <c r="AC23" s="10">
        <f ca="1" xml:space="preserve"> SUMIF( Time!$J332:$BQ332, Time!AC$28, 'Supply Chain finance'!$J48:$BQ48)</f>
        <v>0</v>
      </c>
    </row>
    <row r="24" spans="5:2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Time!$J332:$BQ332, Time!J$28, 'Invoice finance'!$J47:$BQ47)</f>
        <v>-225</v>
      </c>
      <c r="K24" s="10">
        <f ca="1" xml:space="preserve"> SUMIF( Time!$J332:$BQ332, Time!K$28, 'Invoice finance'!$J47:$BQ47)</f>
        <v>-2160</v>
      </c>
      <c r="L24" s="10">
        <f ca="1" xml:space="preserve"> SUMIF( Time!$J332:$BQ332, Time!L$28, 'Invoice finance'!$J47:$BQ47)</f>
        <v>-5220</v>
      </c>
      <c r="M24" s="10">
        <f ca="1" xml:space="preserve"> SUMIF( Time!$J332:$BQ332, Time!M$28, 'Invoice finance'!$J47:$BQ47)</f>
        <v>-10080</v>
      </c>
      <c r="N24" s="10">
        <f ca="1" xml:space="preserve"> SUMIF( Time!$J332:$BQ332, Time!N$28, 'Invoice finance'!$J47:$BQ47)</f>
        <v>-18206.758392461681</v>
      </c>
      <c r="O24" s="10">
        <f ca="1" xml:space="preserve"> SUMIF( Time!$J332:$BQ332, Time!O$28, 'Invoice finance'!$J47:$BQ47)</f>
        <v>-27900.777424365933</v>
      </c>
      <c r="P24" s="10">
        <f ca="1" xml:space="preserve"> SUMIF( Time!$J332:$BQ332, Time!P$28, 'Invoice finance'!$J47:$BQ47)</f>
        <v>-31050</v>
      </c>
      <c r="Q24" s="10">
        <f ca="1" xml:space="preserve"> SUMIF( Time!$J332:$BQ332, Time!Q$28, 'Invoice finance'!$J47:$BQ47)</f>
        <v>-31500</v>
      </c>
      <c r="R24" s="10">
        <f ca="1" xml:space="preserve"> SUMIF( Time!$J332:$BQ332, Time!R$28, 'Invoice finance'!$J47:$BQ47)</f>
        <v>-37890</v>
      </c>
      <c r="S24" s="10">
        <f ca="1" xml:space="preserve"> SUMIF( Time!$J332:$BQ332, Time!S$28, 'Invoice finance'!$J47:$BQ47)</f>
        <v>-7245</v>
      </c>
      <c r="T24" s="10">
        <f ca="1" xml:space="preserve"> SUMIF( Time!$J332:$BQ332, Time!T$28, 'Invoice finance'!$J47:$BQ47)</f>
        <v>0</v>
      </c>
      <c r="U24" s="10">
        <f ca="1" xml:space="preserve"> SUMIF( Time!$J332:$BQ332, Time!U$28, 'Invoice finance'!$J47:$BQ47)</f>
        <v>0</v>
      </c>
      <c r="V24" s="10">
        <f ca="1" xml:space="preserve"> SUMIF( Time!$J332:$BQ332, Time!V$28, 'Invoice finance'!$J47:$BQ47)</f>
        <v>0</v>
      </c>
      <c r="W24" s="10">
        <f ca="1" xml:space="preserve"> SUMIF( Time!$J332:$BQ332, Time!W$28, 'Invoice finance'!$J47:$BQ47)</f>
        <v>0</v>
      </c>
      <c r="X24" s="10">
        <f ca="1" xml:space="preserve"> SUMIF( Time!$J332:$BQ332, Time!X$28, 'Invoice finance'!$J47:$BQ47)</f>
        <v>0</v>
      </c>
      <c r="Y24" s="10">
        <f ca="1" xml:space="preserve"> SUMIF( Time!$J332:$BQ332, Time!Y$28, 'Invoice finance'!$J47:$BQ47)</f>
        <v>0</v>
      </c>
      <c r="Z24" s="10">
        <f ca="1" xml:space="preserve"> SUMIF( Time!$J332:$BQ332, Time!Z$28, 'Invoice finance'!$J47:$BQ47)</f>
        <v>0</v>
      </c>
      <c r="AA24" s="10">
        <f ca="1" xml:space="preserve"> SUMIF( Time!$J332:$BQ332, Time!AA$28, 'Invoice finance'!$J47:$BQ47)</f>
        <v>0</v>
      </c>
      <c r="AB24" s="10">
        <f ca="1" xml:space="preserve"> SUMIF( Time!$J332:$BQ332, Time!AB$28, 'Invoice finance'!$J47:$BQ47)</f>
        <v>0</v>
      </c>
      <c r="AC24" s="10">
        <f ca="1" xml:space="preserve"> SUMIF( Time!$J332:$BQ332, Time!AC$28, 'Invoice finance'!$J47:$BQ47)</f>
        <v>0</v>
      </c>
    </row>
    <row r="25" spans="5:2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Time!$J332:$BQ332, Time!J$28, 'Asset Finance'!$J48:$BQ48)</f>
        <v>-1166.6666666666667</v>
      </c>
      <c r="K25" s="10">
        <f ca="1" xml:space="preserve"> SUMIF( Time!$J332:$BQ332, Time!K$28, 'Asset Finance'!$J48:$BQ48)</f>
        <v>-3216.3507908950623</v>
      </c>
      <c r="L25" s="10">
        <f ca="1" xml:space="preserve"> SUMIF( Time!$J332:$BQ332, Time!L$28, 'Asset Finance'!$J48:$BQ48)</f>
        <v>-9543.2103640639634</v>
      </c>
      <c r="M25" s="10">
        <f ca="1" xml:space="preserve"> SUMIF( Time!$J332:$BQ332, Time!M$28, 'Asset Finance'!$J48:$BQ48)</f>
        <v>-12968.767397248717</v>
      </c>
      <c r="N25" s="10">
        <f ca="1" xml:space="preserve"> SUMIF( Time!$J332:$BQ332, Time!N$28, 'Asset Finance'!$J48:$BQ48)</f>
        <v>-24839.047520422828</v>
      </c>
      <c r="O25" s="10">
        <f ca="1" xml:space="preserve"> SUMIF( Time!$J332:$BQ332, Time!O$28, 'Asset Finance'!$J48:$BQ48)</f>
        <v>-30717.063887513352</v>
      </c>
      <c r="P25" s="10">
        <f ca="1" xml:space="preserve"> SUMIF( Time!$J332:$BQ332, Time!P$28, 'Asset Finance'!$J48:$BQ48)</f>
        <v>-27035.193599491824</v>
      </c>
      <c r="Q25" s="10">
        <f ca="1" xml:space="preserve"> SUMIF( Time!$J332:$BQ332, Time!Q$28, 'Asset Finance'!$J48:$BQ48)</f>
        <v>-27246.035917608289</v>
      </c>
      <c r="R25" s="10">
        <f ca="1" xml:space="preserve"> SUMIF( Time!$J332:$BQ332, Time!R$28, 'Asset Finance'!$J48:$BQ48)</f>
        <v>-30597.404442241037</v>
      </c>
      <c r="S25" s="10">
        <f ca="1" xml:space="preserve"> SUMIF( Time!$J332:$BQ332, Time!S$28, 'Asset Finance'!$J48:$BQ48)</f>
        <v>-26929.877014521604</v>
      </c>
      <c r="T25" s="10">
        <f ca="1" xml:space="preserve"> SUMIF( Time!$J332:$BQ332, Time!T$28, 'Asset Finance'!$J48:$BQ48)</f>
        <v>-23701.954111377632</v>
      </c>
      <c r="U25" s="10">
        <f ca="1" xml:space="preserve"> SUMIF( Time!$J332:$BQ332, Time!U$28, 'Asset Finance'!$J48:$BQ48)</f>
        <v>-20860.94297404019</v>
      </c>
      <c r="V25" s="10">
        <f ca="1" xml:space="preserve"> SUMIF( Time!$J332:$BQ332, Time!V$28, 'Asset Finance'!$J48:$BQ48)</f>
        <v>-18360.466808821398</v>
      </c>
      <c r="W25" s="10">
        <f ca="1" xml:space="preserve"> SUMIF( Time!$J332:$BQ332, Time!W$28, 'Asset Finance'!$J48:$BQ48)</f>
        <v>-16159.70773024667</v>
      </c>
      <c r="X25" s="10">
        <f ca="1" xml:space="preserve"> SUMIF( Time!$J332:$BQ332, Time!X$28, 'Asset Finance'!$J48:$BQ48)</f>
        <v>-14222.740448054925</v>
      </c>
      <c r="Y25" s="10">
        <f ca="1" xml:space="preserve"> SUMIF( Time!$J332:$BQ332, Time!Y$28, 'Asset Finance'!$J48:$BQ48)</f>
        <v>-12517.945821143248</v>
      </c>
      <c r="Z25" s="10">
        <f ca="1" xml:space="preserve"> SUMIF( Time!$J332:$BQ332, Time!Z$28, 'Asset Finance'!$J48:$BQ48)</f>
        <v>-11017.49470528428</v>
      </c>
      <c r="AA25" s="10">
        <f ca="1" xml:space="preserve"> SUMIF( Time!$J332:$BQ332, Time!AA$28, 'Asset Finance'!$J48:$BQ48)</f>
        <v>-9696.893668923165</v>
      </c>
      <c r="AB25" s="10">
        <f ca="1" xml:space="preserve"> SUMIF( Time!$J332:$BQ332, Time!AB$28, 'Asset Finance'!$J48:$BQ48)</f>
        <v>-8534.5851612983315</v>
      </c>
      <c r="AC25" s="10">
        <f ca="1" xml:space="preserve"> SUMIF( Time!$J332:$BQ332, Time!AC$28, 'Asset Finance'!$J48:$BQ48)</f>
        <v>-7511.5956060125009</v>
      </c>
    </row>
    <row r="26" spans="5:29">
      <c r="E26" s="12" t="s">
        <v>181</v>
      </c>
      <c r="F26" s="30"/>
      <c r="G26" s="12" t="s">
        <v>258</v>
      </c>
      <c r="H26" s="56">
        <f ca="1" xml:space="preserve"> SUM( J26:BQ26 )</f>
        <v>114153158.88072786</v>
      </c>
      <c r="I26" s="30"/>
      <c r="J26" s="12">
        <f ca="1" xml:space="preserve"> SUMIF( Time!$J332:$BQ332, Time!J$28, Cashflow!$J26:$BQ26)</f>
        <v>193176.66666666663</v>
      </c>
      <c r="K26" s="12">
        <f ca="1" xml:space="preserve"> SUMIF( Time!$J332:$BQ332, Time!K$28, Cashflow!$J26:$BQ26)</f>
        <v>1138849.6155355028</v>
      </c>
      <c r="L26" s="12">
        <f ca="1" xml:space="preserve"> SUMIF( Time!$J332:$BQ332, Time!L$28, Cashflow!$J26:$BQ26)</f>
        <v>574821.65314220358</v>
      </c>
      <c r="M26" s="12">
        <f ca="1" xml:space="preserve"> SUMIF( Time!$J332:$BQ332, Time!M$28, Cashflow!$J26:$BQ26)</f>
        <v>50692.985798878828</v>
      </c>
      <c r="N26" s="12">
        <f ca="1" xml:space="preserve"> SUMIF( Time!$J332:$BQ332, Time!N$28, Cashflow!$J26:$BQ26)</f>
        <v>2285394.2765117297</v>
      </c>
      <c r="O26" s="12">
        <f ca="1" xml:space="preserve"> SUMIF( Time!$J332:$BQ332, Time!O$28, Cashflow!$J26:$BQ26)</f>
        <v>2847691.7919250699</v>
      </c>
      <c r="P26" s="12">
        <f ca="1" xml:space="preserve"> SUMIF( Time!$J332:$BQ332, Time!P$28, Cashflow!$J26:$BQ26)</f>
        <v>1018457.6081286196</v>
      </c>
      <c r="Q26" s="12">
        <f ca="1" xml:space="preserve"> SUMIF( Time!$J332:$BQ332, Time!Q$28, Cashflow!$J26:$BQ26)</f>
        <v>219926.53225715563</v>
      </c>
      <c r="R26" s="12">
        <f ca="1" xml:space="preserve"> SUMIF( Time!$J332:$BQ332, Time!R$28, Cashflow!$J26:$BQ26)</f>
        <v>2598449.9846192598</v>
      </c>
      <c r="S26" s="12">
        <f ca="1" xml:space="preserve"> SUMIF( Time!$J332:$BQ332, Time!S$28, Cashflow!$J26:$BQ26)</f>
        <v>1223743.5015701537</v>
      </c>
      <c r="T26" s="12">
        <f ca="1" xml:space="preserve"> SUMIF( Time!$J332:$BQ332, Time!T$28, Cashflow!$J26:$BQ26)</f>
        <v>1331457.6876487774</v>
      </c>
      <c r="U26" s="12">
        <f ca="1" xml:space="preserve"> SUMIF( Time!$J332:$BQ332, Time!U$28, Cashflow!$J26:$BQ26)</f>
        <v>1806650.6977839754</v>
      </c>
      <c r="V26" s="12">
        <f ca="1" xml:space="preserve"> SUMIF( Time!$J332:$BQ332, Time!V$28, Cashflow!$J26:$BQ26)</f>
        <v>4746541.6987921363</v>
      </c>
      <c r="W26" s="12">
        <f ca="1" xml:space="preserve"> SUMIF( Time!$J332:$BQ332, Time!W$28, Cashflow!$J26:$BQ26)</f>
        <v>4891311.6845941804</v>
      </c>
      <c r="X26" s="12">
        <f ca="1" xml:space="preserve"> SUMIF( Time!$J332:$BQ332, Time!X$28, Cashflow!$J26:$BQ26)</f>
        <v>9336286.3749605138</v>
      </c>
      <c r="Y26" s="12">
        <f ca="1" xml:space="preserve"> SUMIF( Time!$J332:$BQ332, Time!Y$28, Cashflow!$J26:$BQ26)</f>
        <v>11340524.148001</v>
      </c>
      <c r="Z26" s="12">
        <f ca="1" xml:space="preserve"> SUMIF( Time!$J332:$BQ332, Time!Z$28, Cashflow!$J26:$BQ26)</f>
        <v>13893786.695164554</v>
      </c>
      <c r="AA26" s="12">
        <f ca="1" xml:space="preserve"> SUMIF( Time!$J332:$BQ332, Time!AA$28, Cashflow!$J26:$BQ26)</f>
        <v>9477553.5541749764</v>
      </c>
      <c r="AB26" s="12">
        <f ca="1" xml:space="preserve"> SUMIF( Time!$J332:$BQ332, Time!AB$28, Cashflow!$J26:$BQ26)</f>
        <v>20521243.863519944</v>
      </c>
      <c r="AC26" s="12">
        <f ca="1" xml:space="preserve"> SUMIF( Time!$J332:$BQ332, Time!AC$28, Cashflow!$J26:$BQ26)</f>
        <v>24656597.859932575</v>
      </c>
    </row>
    <row r="28" spans="5:2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Time!$J332:$BQ332, Time!J$28, InpS!$J11:$BQ11)</f>
        <v>0</v>
      </c>
      <c r="K28" s="10">
        <f xml:space="preserve"> SUMIF( Time!$J332:$BQ332, Time!K$28, InpS!$J11:$BQ11)</f>
        <v>0</v>
      </c>
      <c r="L28" s="10">
        <f xml:space="preserve"> SUMIF( Time!$J332:$BQ332, Time!L$28, InpS!$J11:$BQ11)</f>
        <v>0</v>
      </c>
      <c r="M28" s="10">
        <f xml:space="preserve"> SUMIF( Time!$J332:$BQ332, Time!M$28, InpS!$J11:$BQ11)</f>
        <v>0</v>
      </c>
      <c r="N28" s="10">
        <f xml:space="preserve"> SUMIF( Time!$J332:$BQ332, Time!N$28, InpS!$J11:$BQ11)</f>
        <v>0</v>
      </c>
      <c r="O28" s="10">
        <f xml:space="preserve"> SUMIF( Time!$J332:$BQ332, Time!O$28, InpS!$J11:$BQ11)</f>
        <v>0</v>
      </c>
      <c r="P28" s="10">
        <f xml:space="preserve"> SUMIF( Time!$J332:$BQ332, Time!P$28, InpS!$J11:$BQ11)</f>
        <v>0</v>
      </c>
      <c r="Q28" s="10">
        <f xml:space="preserve"> SUMIF( Time!$J332:$BQ332, Time!Q$28, InpS!$J11:$BQ11)</f>
        <v>0</v>
      </c>
      <c r="R28" s="10">
        <f xml:space="preserve"> SUMIF( Time!$J332:$BQ332, Time!R$28, InpS!$J11:$BQ11)</f>
        <v>0</v>
      </c>
      <c r="S28" s="10">
        <f xml:space="preserve"> SUMIF( Time!$J332:$BQ332, Time!S$28, InpS!$J11:$BQ11)</f>
        <v>0</v>
      </c>
      <c r="T28" s="10">
        <f xml:space="preserve"> SUMIF( Time!$J332:$BQ332, Time!T$28, InpS!$J11:$BQ11)</f>
        <v>0</v>
      </c>
      <c r="U28" s="10">
        <f xml:space="preserve"> SUMIF( Time!$J332:$BQ332, Time!U$28, InpS!$J11:$BQ11)</f>
        <v>0</v>
      </c>
      <c r="V28" s="10">
        <f xml:space="preserve"> SUMIF( Time!$J332:$BQ332, Time!V$28, InpS!$J11:$BQ11)</f>
        <v>0</v>
      </c>
      <c r="W28" s="10">
        <f xml:space="preserve"> SUMIF( Time!$J332:$BQ332, Time!W$28, InpS!$J11:$BQ11)</f>
        <v>0</v>
      </c>
      <c r="X28" s="10">
        <f xml:space="preserve"> SUMIF( Time!$J332:$BQ332, Time!X$28, InpS!$J11:$BQ11)</f>
        <v>0</v>
      </c>
      <c r="Y28" s="10">
        <f xml:space="preserve"> SUMIF( Time!$J332:$BQ332, Time!Y$28, InpS!$J11:$BQ11)</f>
        <v>0</v>
      </c>
      <c r="Z28" s="10">
        <f xml:space="preserve"> SUMIF( Time!$J332:$BQ332, Time!Z$28, InpS!$J11:$BQ11)</f>
        <v>0</v>
      </c>
      <c r="AA28" s="10">
        <f xml:space="preserve"> SUMIF( Time!$J332:$BQ332, Time!AA$28, InpS!$J11:$BQ11)</f>
        <v>0</v>
      </c>
      <c r="AB28" s="10">
        <f xml:space="preserve"> SUMIF( Time!$J332:$BQ332, Time!AB$28, InpS!$J11:$BQ11)</f>
        <v>0</v>
      </c>
      <c r="AC28" s="10">
        <f xml:space="preserve"> SUMIF( Time!$J332:$BQ332, Time!AC$28, InpS!$J11:$BQ11)</f>
        <v>0</v>
      </c>
    </row>
    <row r="29" spans="5:29">
      <c r="E29" s="12" t="s">
        <v>115</v>
      </c>
      <c r="F29" s="30"/>
      <c r="G29" s="12" t="s">
        <v>258</v>
      </c>
      <c r="H29" s="56">
        <f ca="1" xml:space="preserve"> SUM( J29:BQ29 )</f>
        <v>114153158.88072786</v>
      </c>
      <c r="I29" s="30"/>
      <c r="J29" s="12">
        <f ca="1" xml:space="preserve"> SUMIF( Time!$J332:$BQ332, Time!J$28, Cashflow!$J29:$BQ29)</f>
        <v>193176.66666666663</v>
      </c>
      <c r="K29" s="12">
        <f ca="1" xml:space="preserve"> SUMIF( Time!$J332:$BQ332, Time!K$28, Cashflow!$J29:$BQ29)</f>
        <v>1138849.6155355028</v>
      </c>
      <c r="L29" s="12">
        <f ca="1" xml:space="preserve"> SUMIF( Time!$J332:$BQ332, Time!L$28, Cashflow!$J29:$BQ29)</f>
        <v>574821.65314220358</v>
      </c>
      <c r="M29" s="12">
        <f ca="1" xml:space="preserve"> SUMIF( Time!$J332:$BQ332, Time!M$28, Cashflow!$J29:$BQ29)</f>
        <v>50692.985798878828</v>
      </c>
      <c r="N29" s="12">
        <f ca="1" xml:space="preserve"> SUMIF( Time!$J332:$BQ332, Time!N$28, Cashflow!$J29:$BQ29)</f>
        <v>2285394.2765117297</v>
      </c>
      <c r="O29" s="12">
        <f ca="1" xml:space="preserve"> SUMIF( Time!$J332:$BQ332, Time!O$28, Cashflow!$J29:$BQ29)</f>
        <v>2847691.7919250699</v>
      </c>
      <c r="P29" s="12">
        <f ca="1" xml:space="preserve"> SUMIF( Time!$J332:$BQ332, Time!P$28, Cashflow!$J29:$BQ29)</f>
        <v>1018457.6081286196</v>
      </c>
      <c r="Q29" s="12">
        <f ca="1" xml:space="preserve"> SUMIF( Time!$J332:$BQ332, Time!Q$28, Cashflow!$J29:$BQ29)</f>
        <v>219926.53225715563</v>
      </c>
      <c r="R29" s="12">
        <f ca="1" xml:space="preserve"> SUMIF( Time!$J332:$BQ332, Time!R$28, Cashflow!$J29:$BQ29)</f>
        <v>2598449.9846192598</v>
      </c>
      <c r="S29" s="12">
        <f ca="1" xml:space="preserve"> SUMIF( Time!$J332:$BQ332, Time!S$28, Cashflow!$J29:$BQ29)</f>
        <v>1223743.5015701537</v>
      </c>
      <c r="T29" s="12">
        <f ca="1" xml:space="preserve"> SUMIF( Time!$J332:$BQ332, Time!T$28, Cashflow!$J29:$BQ29)</f>
        <v>1331457.6876487774</v>
      </c>
      <c r="U29" s="12">
        <f ca="1" xml:space="preserve"> SUMIF( Time!$J332:$BQ332, Time!U$28, Cashflow!$J29:$BQ29)</f>
        <v>1806650.6977839754</v>
      </c>
      <c r="V29" s="12">
        <f ca="1" xml:space="preserve"> SUMIF( Time!$J332:$BQ332, Time!V$28, Cashflow!$J29:$BQ29)</f>
        <v>4746541.6987921363</v>
      </c>
      <c r="W29" s="12">
        <f ca="1" xml:space="preserve"> SUMIF( Time!$J332:$BQ332, Time!W$28, Cashflow!$J29:$BQ29)</f>
        <v>4891311.6845941804</v>
      </c>
      <c r="X29" s="12">
        <f ca="1" xml:space="preserve"> SUMIF( Time!$J332:$BQ332, Time!X$28, Cashflow!$J29:$BQ29)</f>
        <v>9336286.3749605138</v>
      </c>
      <c r="Y29" s="12">
        <f ca="1" xml:space="preserve"> SUMIF( Time!$J332:$BQ332, Time!Y$28, Cashflow!$J29:$BQ29)</f>
        <v>11340524.148001</v>
      </c>
      <c r="Z29" s="12">
        <f ca="1" xml:space="preserve"> SUMIF( Time!$J332:$BQ332, Time!Z$28, Cashflow!$J29:$BQ29)</f>
        <v>13893786.695164554</v>
      </c>
      <c r="AA29" s="12">
        <f ca="1" xml:space="preserve"> SUMIF( Time!$J332:$BQ332, Time!AA$28, Cashflow!$J29:$BQ29)</f>
        <v>9477553.5541749764</v>
      </c>
      <c r="AB29" s="12">
        <f ca="1" xml:space="preserve"> SUMIF( Time!$J332:$BQ332, Time!AB$28, Cashflow!$J29:$BQ29)</f>
        <v>20521243.863519944</v>
      </c>
      <c r="AC29" s="12">
        <f ca="1" xml:space="preserve"> SUMIF( Time!$J332:$BQ332, Time!AC$28, Cashflow!$J29:$BQ29)</f>
        <v>24656597.859932575</v>
      </c>
    </row>
  </sheetData>
  <conditionalFormatting sqref="F3">
    <cfRule type="cellIs" dxfId="79" priority="8" stopIfTrue="1" operator="notEqual">
      <formula>0</formula>
    </cfRule>
    <cfRule type="cellIs" dxfId="78" priority="9" stopIfTrue="1" operator="equal">
      <formula>""</formula>
    </cfRule>
  </conditionalFormatting>
  <conditionalFormatting sqref="J3:AC3">
    <cfRule type="cellIs" dxfId="77" priority="6" stopIfTrue="1" operator="equal">
      <formula>"Construction"</formula>
    </cfRule>
    <cfRule type="cellIs" dxfId="76" priority="7" stopIfTrue="1" operator="equal">
      <formula>"Operations"</formula>
    </cfRule>
  </conditionalFormatting>
  <conditionalFormatting sqref="J3:AC3">
    <cfRule type="cellIs" dxfId="75" priority="5" operator="equal">
      <formula>"Fin Close"</formula>
    </cfRule>
  </conditionalFormatting>
  <conditionalFormatting sqref="J3:AC3">
    <cfRule type="cellIs" dxfId="74" priority="3" operator="equal">
      <formula>"PPA ext."</formula>
    </cfRule>
    <cfRule type="cellIs" dxfId="73" priority="4" operator="equal">
      <formula>"Delay"</formula>
    </cfRule>
  </conditionalFormatting>
  <conditionalFormatting sqref="F2">
    <cfRule type="cellIs" dxfId="72" priority="1" stopIfTrue="1" operator="notEqual">
      <formula>0</formula>
    </cfRule>
    <cfRule type="cellIs" dxfId="71"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44" bestFit="1" customWidth="1"/>
    <col min="6" max="6" width="20.5546875" bestFit="1" customWidth="1"/>
    <col min="7" max="7" width="13.21875" bestFit="1" customWidth="1"/>
    <col min="8" max="8" width="14.44140625" style="45" bestFit="1" customWidth="1"/>
    <col min="9" max="9" width="3.44140625" customWidth="1"/>
    <col min="10" max="10" width="11.77734375" bestFit="1" customWidth="1"/>
    <col min="11" max="13" width="12.44140625" bestFit="1" customWidth="1"/>
    <col min="14" max="17" width="13.21875" bestFit="1" customWidth="1"/>
    <col min="18" max="19" width="13.88671875" bestFit="1" customWidth="1"/>
    <col min="20" max="20" width="15.109375" hidden="1" customWidth="1"/>
    <col min="21" max="16384" width="15.109375" hidden="1"/>
  </cols>
  <sheetData>
    <row r="1" spans="1:19" s="73" customFormat="1" ht="25">
      <c r="A1" s="46" t="str">
        <f ca="1" xml:space="preserve"> RIGHT(CELL("filename", A1), LEN(CELL("filename", A1)) - SEARCH("]", CELL("filename", A1)))</f>
        <v>Cashflow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'Working Capital'!E$22</f>
        <v>Cash in from Sales</v>
      </c>
      <c r="F8" s="17">
        <f xml:space="preserve"> 'Working Capital'!F$22</f>
        <v>0</v>
      </c>
      <c r="G8" s="17" t="str">
        <f xml:space="preserve"> 'Working Capital'!G$22</f>
        <v>GBP</v>
      </c>
      <c r="H8" s="44">
        <f ca="1" xml:space="preserve"> 'Working Capital'!H$22</f>
        <v>235353600</v>
      </c>
      <c r="I8" s="17">
        <f xml:space="preserve"> 'Working Capital'!I$22</f>
        <v>0</v>
      </c>
      <c r="J8" s="10">
        <f ca="1" xml:space="preserve"> SUMIF( Time!$J347:$BQ347, Time!J$28, 'Working Capital'!$J22:$BQ22)</f>
        <v>518400</v>
      </c>
      <c r="K8" s="10">
        <f ca="1" xml:space="preserve"> SUMIF( Time!$J347:$BQ347, Time!K$28, 'Working Capital'!$J22:$BQ22)</f>
        <v>2246400</v>
      </c>
      <c r="L8" s="10">
        <f ca="1" xml:space="preserve"> SUMIF( Time!$J347:$BQ347, Time!L$28, 'Working Capital'!$J22:$BQ22)</f>
        <v>7232658.2706280798</v>
      </c>
      <c r="M8" s="10">
        <f ca="1" xml:space="preserve"> SUMIF( Time!$J347:$BQ347, Time!M$28, 'Working Capital'!$J22:$BQ22)</f>
        <v>2444141.7293719202</v>
      </c>
      <c r="N8" s="10">
        <f ca="1" xml:space="preserve"> SUMIF( Time!$J347:$BQ347, Time!N$28, 'Working Capital'!$J22:$BQ22)</f>
        <v>13626258.27062808</v>
      </c>
      <c r="O8" s="10">
        <f ca="1" xml:space="preserve"> SUMIF( Time!$J347:$BQ347, Time!O$28, 'Working Capital'!$J22:$BQ22)</f>
        <v>11429741.72937192</v>
      </c>
      <c r="P8" s="10">
        <f ca="1" xml:space="preserve"> SUMIF( Time!$J347:$BQ347, Time!P$28, 'Working Capital'!$J22:$BQ22)</f>
        <v>25056000</v>
      </c>
      <c r="Q8" s="10">
        <f ca="1" xml:space="preserve"> SUMIF( Time!$J347:$BQ347, Time!Q$28, 'Working Capital'!$J22:$BQ22)</f>
        <v>38016000</v>
      </c>
      <c r="R8" s="10">
        <f ca="1" xml:space="preserve"> SUMIF( Time!$J347:$BQ347, Time!R$28, 'Working Capital'!$J22:$BQ22)</f>
        <v>55296000</v>
      </c>
      <c r="S8" s="10">
        <f ca="1" xml:space="preserve"> SUMIF( Time!$J347:$BQ347, Time!S$28, 'Working Capital'!$J22:$BQ22)</f>
        <v>79488000</v>
      </c>
    </row>
    <row r="9" spans="1:19">
      <c r="E9" s="17" t="str">
        <f xml:space="preserve"> 'Working Capital'!E$52</f>
        <v xml:space="preserve">Cash out on Operating Expense </v>
      </c>
      <c r="F9" s="17">
        <f xml:space="preserve"> 'Working Capital'!F$52</f>
        <v>0</v>
      </c>
      <c r="G9" s="17" t="str">
        <f xml:space="preserve"> 'Working Capital'!G$52</f>
        <v>GBP</v>
      </c>
      <c r="H9" s="44">
        <f ca="1" xml:space="preserve"> 'Working Capital'!H$52</f>
        <v>-29881425.450217187</v>
      </c>
      <c r="I9" s="17">
        <f xml:space="preserve"> 'Working Capital'!I$52</f>
        <v>0</v>
      </c>
      <c r="J9" s="10">
        <f ca="1" xml:space="preserve"> SUMIF( Time!$J347:$BQ347, Time!J$28, 'Working Capital'!$J52:$BQ52)</f>
        <v>-459010.66969699238</v>
      </c>
      <c r="K9" s="10">
        <f ca="1" xml:space="preserve"> SUMIF( Time!$J347:$BQ347, Time!K$28, 'Working Capital'!$J52:$BQ52)</f>
        <v>-758926.6463049592</v>
      </c>
      <c r="L9" s="10">
        <f ca="1" xml:space="preserve"> SUMIF( Time!$J347:$BQ347, Time!L$28, 'Working Capital'!$J52:$BQ52)</f>
        <v>-915192.50715248799</v>
      </c>
      <c r="M9" s="10">
        <f ca="1" xml:space="preserve"> SUMIF( Time!$J347:$BQ347, Time!M$28, 'Working Capital'!$J52:$BQ52)</f>
        <v>-1173591.507116501</v>
      </c>
      <c r="N9" s="10">
        <f ca="1" xml:space="preserve"> SUMIF( Time!$J347:$BQ347, Time!N$28, 'Working Capital'!$J52:$BQ52)</f>
        <v>-1675335.4136018702</v>
      </c>
      <c r="O9" s="10">
        <f ca="1" xml:space="preserve"> SUMIF( Time!$J347:$BQ347, Time!O$28, 'Working Capital'!$J52:$BQ52)</f>
        <v>-2434062.0908104018</v>
      </c>
      <c r="P9" s="10">
        <f ca="1" xml:space="preserve"> SUMIF( Time!$J347:$BQ347, Time!P$28, 'Working Capital'!$J52:$BQ52)</f>
        <v>-3264207.3923233654</v>
      </c>
      <c r="Q9" s="10">
        <f ca="1" xml:space="preserve"> SUMIF( Time!$J347:$BQ347, Time!Q$28, 'Working Capital'!$J52:$BQ52)</f>
        <v>-4470235.9548255466</v>
      </c>
      <c r="R9" s="10">
        <f ca="1" xml:space="preserve"> SUMIF( Time!$J347:$BQ347, Time!R$28, 'Working Capital'!$J52:$BQ52)</f>
        <v>-6168287.7597640939</v>
      </c>
      <c r="S9" s="10">
        <f ca="1" xml:space="preserve"> SUMIF( Time!$J347:$BQ347, Time!S$28, 'Working Capital'!$J52:$BQ52)</f>
        <v>-8562575.5086209718</v>
      </c>
    </row>
    <row r="10" spans="1:19">
      <c r="E10" s="17" t="str">
        <f xml:space="preserve"> VAT!E$38</f>
        <v xml:space="preserve">VAT paid </v>
      </c>
      <c r="F10" s="17">
        <f xml:space="preserve"> VAT!F$38</f>
        <v>0</v>
      </c>
      <c r="G10" s="17" t="str">
        <f xml:space="preserve"> VAT!G$38</f>
        <v>GBP</v>
      </c>
      <c r="H10" s="44">
        <f ca="1" xml:space="preserve"> VAT!H$38</f>
        <v>-28434306.505756866</v>
      </c>
      <c r="I10" s="17">
        <f xml:space="preserve"> VAT!I$38</f>
        <v>0</v>
      </c>
      <c r="J10" s="10">
        <f ca="1" xml:space="preserve"> SUMIF( Time!$J347:$BQ347, Time!J$28, VAT!$J38:$BQ38)</f>
        <v>127598.82846648438</v>
      </c>
      <c r="K10" s="10">
        <f ca="1" xml:space="preserve"> SUMIF( Time!$J347:$BQ347, Time!K$28, VAT!$J38:$BQ38)</f>
        <v>-427713.54265110835</v>
      </c>
      <c r="L10" s="10">
        <f ca="1" xml:space="preserve"> SUMIF( Time!$J347:$BQ347, Time!L$28, VAT!$J38:$BQ38)</f>
        <v>-829217.58058990806</v>
      </c>
      <c r="M10" s="10">
        <f ca="1" xml:space="preserve"> SUMIF( Time!$J347:$BQ347, Time!M$28, VAT!$J38:$BQ38)</f>
        <v>-325377.16787066846</v>
      </c>
      <c r="N10" s="10">
        <f ca="1" xml:space="preserve"> SUMIF( Time!$J347:$BQ347, Time!N$28, VAT!$J38:$BQ38)</f>
        <v>-1492806.7172125578</v>
      </c>
      <c r="O10" s="10">
        <f ca="1" xml:space="preserve"> SUMIF( Time!$J347:$BQ347, Time!O$28, VAT!$J38:$BQ38)</f>
        <v>-1110023.5825928198</v>
      </c>
      <c r="P10" s="10">
        <f ca="1" xml:space="preserve"> SUMIF( Time!$J347:$BQ347, Time!P$28, VAT!$J38:$BQ38)</f>
        <v>-3101150.3738243394</v>
      </c>
      <c r="Q10" s="10">
        <f ca="1" xml:space="preserve"> SUMIF( Time!$J347:$BQ347, Time!Q$28, VAT!$J38:$BQ38)</f>
        <v>-4558583.5467612538</v>
      </c>
      <c r="R10" s="10">
        <f ca="1" xml:space="preserve"> SUMIF( Time!$J347:$BQ347, Time!R$28, VAT!$J38:$BQ38)</f>
        <v>-7024784.8653571904</v>
      </c>
      <c r="S10" s="10">
        <f ca="1" xml:space="preserve"> SUMIF( Time!$J347:$BQ347, Time!S$28, VAT!$J38:$BQ38)</f>
        <v>-9692247.9573635049</v>
      </c>
    </row>
    <row r="11" spans="1:19">
      <c r="E11" s="17" t="str">
        <f xml:space="preserve"> 'Corporation tax'!E$69</f>
        <v xml:space="preserve">Corporation tax paid </v>
      </c>
      <c r="F11" s="17">
        <f xml:space="preserve"> 'Corporation tax'!F$69</f>
        <v>0</v>
      </c>
      <c r="G11" s="17" t="str">
        <f xml:space="preserve"> 'Corporation tax'!G$69</f>
        <v>GBP</v>
      </c>
      <c r="H11" s="44">
        <f ca="1" xml:space="preserve"> 'Corporation tax'!H$69</f>
        <v>-12116713.028871149</v>
      </c>
      <c r="I11" s="17">
        <f xml:space="preserve"> 'Corporation tax'!I$69</f>
        <v>0</v>
      </c>
      <c r="J11" s="10">
        <f ca="1" xml:space="preserve"> SUMIF( Time!$J347:$BQ347, Time!J$28, 'Corporation tax'!$J69:$BQ69)</f>
        <v>0</v>
      </c>
      <c r="K11" s="10">
        <f ca="1" xml:space="preserve"> SUMIF( Time!$J347:$BQ347, Time!K$28, 'Corporation tax'!$J69:$BQ69)</f>
        <v>0</v>
      </c>
      <c r="L11" s="10">
        <f ca="1" xml:space="preserve"> SUMIF( Time!$J347:$BQ347, Time!L$28, 'Corporation tax'!$J69:$BQ69)</f>
        <v>-358506.10425785242</v>
      </c>
      <c r="M11" s="10">
        <f ca="1" xml:space="preserve"> SUMIF( Time!$J347:$BQ347, Time!M$28, 'Corporation tax'!$J69:$BQ69)</f>
        <v>0</v>
      </c>
      <c r="N11" s="10">
        <f ca="1" xml:space="preserve"> SUMIF( Time!$J347:$BQ347, Time!N$28, 'Corporation tax'!$J69:$BQ69)</f>
        <v>-1415781.5297293758</v>
      </c>
      <c r="O11" s="10">
        <f ca="1" xml:space="preserve"> SUMIF( Time!$J347:$BQ347, Time!O$28, 'Corporation tax'!$J69:$BQ69)</f>
        <v>0</v>
      </c>
      <c r="P11" s="10">
        <f ca="1" xml:space="preserve"> SUMIF( Time!$J347:$BQ347, Time!P$28, 'Corporation tax'!$J69:$BQ69)</f>
        <v>-3038017.585057735</v>
      </c>
      <c r="Q11" s="10">
        <f ca="1" xml:space="preserve"> SUMIF( Time!$J347:$BQ347, Time!Q$28, 'Corporation tax'!$J69:$BQ69)</f>
        <v>0</v>
      </c>
      <c r="R11" s="10">
        <f ca="1" xml:space="preserve"> SUMIF( Time!$J347:$BQ347, Time!R$28, 'Corporation tax'!$J69:$BQ69)</f>
        <v>-7304407.809826185</v>
      </c>
      <c r="S11" s="10">
        <f ca="1" xml:space="preserve"> SUMIF( Time!$J347:$BQ347, Time!S$28, 'Corporation tax'!$J69:$BQ69)</f>
        <v>0</v>
      </c>
    </row>
    <row r="12" spans="1:19">
      <c r="E12" s="12" t="s">
        <v>114</v>
      </c>
      <c r="F12" s="30"/>
      <c r="G12" s="12" t="s">
        <v>258</v>
      </c>
      <c r="H12" s="56">
        <f ca="1" xml:space="preserve"> SUM( J12:BQ12 )</f>
        <v>164921155.01515478</v>
      </c>
      <c r="I12" s="30"/>
      <c r="J12" s="12">
        <f ca="1" xml:space="preserve"> SUMIF( Time!$J347:$BQ347, Time!J$28, Cashflow!$J12:$BQ12)</f>
        <v>186988.158769492</v>
      </c>
      <c r="K12" s="12">
        <f ca="1" xml:space="preserve"> SUMIF( Time!$J347:$BQ347, Time!K$28, Cashflow!$J12:$BQ12)</f>
        <v>1059759.8110439326</v>
      </c>
      <c r="L12" s="12">
        <f ca="1" xml:space="preserve"> SUMIF( Time!$J347:$BQ347, Time!L$28, Cashflow!$J12:$BQ12)</f>
        <v>5129742.0786278313</v>
      </c>
      <c r="M12" s="12">
        <f ca="1" xml:space="preserve"> SUMIF( Time!$J347:$BQ347, Time!M$28, Cashflow!$J12:$BQ12)</f>
        <v>945173.0543847509</v>
      </c>
      <c r="N12" s="12">
        <f ca="1" xml:space="preserve"> SUMIF( Time!$J347:$BQ347, Time!N$28, Cashflow!$J12:$BQ12)</f>
        <v>9042334.6100842766</v>
      </c>
      <c r="O12" s="12">
        <f ca="1" xml:space="preserve"> SUMIF( Time!$J347:$BQ347, Time!O$28, Cashflow!$J12:$BQ12)</f>
        <v>7885656.0559686981</v>
      </c>
      <c r="P12" s="12">
        <f ca="1" xml:space="preserve"> SUMIF( Time!$J347:$BQ347, Time!P$28, Cashflow!$J12:$BQ12)</f>
        <v>15652624.64879456</v>
      </c>
      <c r="Q12" s="12">
        <f ca="1" xml:space="preserve"> SUMIF( Time!$J347:$BQ347, Time!Q$28, Cashflow!$J12:$BQ12)</f>
        <v>28987180.498413198</v>
      </c>
      <c r="R12" s="12">
        <f ca="1" xml:space="preserve"> SUMIF( Time!$J347:$BQ347, Time!R$28, Cashflow!$J12:$BQ12)</f>
        <v>34798519.565052532</v>
      </c>
      <c r="S12" s="12">
        <f ca="1" xml:space="preserve"> SUMIF( Time!$J347:$BQ347, Time!S$28, Cashflow!$J12:$BQ12)</f>
        <v>61233176.534015521</v>
      </c>
    </row>
    <row r="14" spans="1:19">
      <c r="E14" s="17" t="str">
        <f xml:space="preserve"> 'Working Capital'!E$15</f>
        <v xml:space="preserve">Cash out on Inventory </v>
      </c>
      <c r="F14" s="17">
        <f xml:space="preserve"> 'Working Capital'!F$15</f>
        <v>0</v>
      </c>
      <c r="G14" s="17" t="str">
        <f xml:space="preserve"> 'Working Capital'!G$15</f>
        <v>GBP</v>
      </c>
      <c r="H14" s="44">
        <f ca="1" xml:space="preserve"> 'Working Capital'!H$15</f>
        <v>-50442000</v>
      </c>
      <c r="I14" s="17">
        <f xml:space="preserve"> 'Working Capital'!I$15</f>
        <v>0</v>
      </c>
      <c r="J14" s="10">
        <f ca="1" xml:space="preserve"> SUMIF( Time!$J347:$BQ347, Time!J$28, 'Working Capital'!$J15:$BQ15)</f>
        <v>-315000</v>
      </c>
      <c r="K14" s="10">
        <f ca="1" xml:space="preserve"> SUMIF( Time!$J347:$BQ347, Time!K$28, 'Working Capital'!$J15:$BQ15)</f>
        <v>-1091999.9999999998</v>
      </c>
      <c r="L14" s="10">
        <f ca="1" xml:space="preserve"> SUMIF( Time!$J347:$BQ347, Time!L$28, 'Working Capital'!$J15:$BQ15)</f>
        <v>-745499.99999999988</v>
      </c>
      <c r="M14" s="10">
        <f ca="1" xml:space="preserve"> SUMIF( Time!$J347:$BQ347, Time!M$28, 'Working Capital'!$J15:$BQ15)</f>
        <v>-1018500</v>
      </c>
      <c r="N14" s="10">
        <f ca="1" xml:space="preserve"> SUMIF( Time!$J347:$BQ347, Time!N$28, 'Working Capital'!$J15:$BQ15)</f>
        <v>-2456999.9999999995</v>
      </c>
      <c r="O14" s="10">
        <f ca="1" xml:space="preserve"> SUMIF( Time!$J347:$BQ347, Time!O$28, 'Working Capital'!$J15:$BQ15)</f>
        <v>-3717000</v>
      </c>
      <c r="P14" s="10">
        <f ca="1" xml:space="preserve"> SUMIF( Time!$J347:$BQ347, Time!P$28, 'Working Capital'!$J15:$BQ15)</f>
        <v>-5764499.9999999991</v>
      </c>
      <c r="Q14" s="10">
        <f ca="1" xml:space="preserve"> SUMIF( Time!$J347:$BQ347, Time!Q$28, 'Working Capital'!$J15:$BQ15)</f>
        <v>-8116500</v>
      </c>
      <c r="R14" s="10">
        <f ca="1" xml:space="preserve"> SUMIF( Time!$J347:$BQ347, Time!R$28, 'Working Capital'!$J15:$BQ15)</f>
        <v>-11277000</v>
      </c>
      <c r="S14" s="10">
        <f ca="1" xml:space="preserve"> SUMIF( Time!$J347:$BQ347, Time!S$28, 'Working Capital'!$J15:$BQ15)</f>
        <v>-15939000</v>
      </c>
    </row>
    <row r="15" spans="1:19">
      <c r="E15" s="12" t="s">
        <v>19</v>
      </c>
      <c r="F15" s="30"/>
      <c r="G15" s="12" t="s">
        <v>258</v>
      </c>
      <c r="H15" s="56">
        <f ca="1" xml:space="preserve"> SUM( J15:BQ15 )</f>
        <v>114479155.01515479</v>
      </c>
      <c r="I15" s="30"/>
      <c r="J15" s="12">
        <f ca="1" xml:space="preserve"> SUMIF( Time!$J347:$BQ347, Time!J$28, Cashflow!$J15:$BQ15)</f>
        <v>-128011.841230508</v>
      </c>
      <c r="K15" s="12">
        <f ca="1" xml:space="preserve"> SUMIF( Time!$J347:$BQ347, Time!K$28, Cashflow!$J15:$BQ15)</f>
        <v>-32240.188956067315</v>
      </c>
      <c r="L15" s="12">
        <f ca="1" xml:space="preserve"> SUMIF( Time!$J347:$BQ347, Time!L$28, Cashflow!$J15:$BQ15)</f>
        <v>4384242.0786278313</v>
      </c>
      <c r="M15" s="12">
        <f ca="1" xml:space="preserve"> SUMIF( Time!$J347:$BQ347, Time!M$28, Cashflow!$J15:$BQ15)</f>
        <v>-73326.94561524922</v>
      </c>
      <c r="N15" s="12">
        <f ca="1" xml:space="preserve"> SUMIF( Time!$J347:$BQ347, Time!N$28, Cashflow!$J15:$BQ15)</f>
        <v>6585334.6100842757</v>
      </c>
      <c r="O15" s="12">
        <f ca="1" xml:space="preserve"> SUMIF( Time!$J347:$BQ347, Time!O$28, Cashflow!$J15:$BQ15)</f>
        <v>4168656.0559686981</v>
      </c>
      <c r="P15" s="12">
        <f ca="1" xml:space="preserve"> SUMIF( Time!$J347:$BQ347, Time!P$28, Cashflow!$J15:$BQ15)</f>
        <v>9888124.6487945598</v>
      </c>
      <c r="Q15" s="12">
        <f ca="1" xml:space="preserve"> SUMIF( Time!$J347:$BQ347, Time!Q$28, Cashflow!$J15:$BQ15)</f>
        <v>20870680.498413198</v>
      </c>
      <c r="R15" s="12">
        <f ca="1" xml:space="preserve"> SUMIF( Time!$J347:$BQ347, Time!R$28, Cashflow!$J15:$BQ15)</f>
        <v>23521519.565052532</v>
      </c>
      <c r="S15" s="12">
        <f ca="1" xml:space="preserve"> SUMIF( Time!$J347:$BQ347, Time!S$28, Cashflow!$J15:$BQ15)</f>
        <v>45294176.534015521</v>
      </c>
    </row>
    <row r="17" spans="5:19">
      <c r="E17" s="17" t="str">
        <f xml:space="preserve"> 'Supply Chain finance'!E$22</f>
        <v>Supply Chain Finance drawdown</v>
      </c>
      <c r="F17" s="17">
        <f xml:space="preserve"> 'Supply Chain finance'!F$22</f>
        <v>0</v>
      </c>
      <c r="G17" s="17" t="str">
        <f xml:space="preserve"> 'Supply Chain finance'!G$22</f>
        <v>GBP</v>
      </c>
      <c r="H17" s="44">
        <f ca="1" xml:space="preserve"> 'Supply Chain finance'!H$22</f>
        <v>4060000</v>
      </c>
      <c r="I17" s="17">
        <f xml:space="preserve"> 'Supply Chain finance'!I$22</f>
        <v>0</v>
      </c>
      <c r="J17" s="10">
        <f xml:space="preserve"> SUMIF( Time!$J347:$BQ347, Time!J$28, 'Supply Chain finance'!$J22:$BQ22)</f>
        <v>840000</v>
      </c>
      <c r="K17" s="10">
        <f xml:space="preserve"> SUMIF( Time!$J347:$BQ347, Time!K$28, 'Supply Chain finance'!$J22:$BQ22)</f>
        <v>560000</v>
      </c>
      <c r="L17" s="10">
        <f ca="1" xml:space="preserve"> SUMIF( Time!$J347:$BQ347, Time!L$28, 'Supply Chain finance'!$J22:$BQ22)</f>
        <v>420000</v>
      </c>
      <c r="M17" s="10">
        <f ca="1" xml:space="preserve"> SUMIF( Time!$J347:$BQ347, Time!M$28, 'Supply Chain finance'!$J22:$BQ22)</f>
        <v>1540000</v>
      </c>
      <c r="N17" s="10">
        <f ca="1" xml:space="preserve"> SUMIF( Time!$J347:$BQ347, Time!N$28, 'Supply Chain finance'!$J22:$BQ22)</f>
        <v>700000</v>
      </c>
      <c r="O17" s="10">
        <f ca="1" xml:space="preserve"> SUMIF( Time!$J347:$BQ347, Time!O$28, 'Supply Chain finance'!$J22:$BQ22)</f>
        <v>0</v>
      </c>
      <c r="P17" s="10">
        <f ca="1" xml:space="preserve"> SUMIF( Time!$J347:$BQ347, Time!P$28, 'Supply Chain finance'!$J22:$BQ22)</f>
        <v>0</v>
      </c>
      <c r="Q17" s="10">
        <f ca="1" xml:space="preserve"> SUMIF( Time!$J347:$BQ347, Time!Q$28, 'Supply Chain finance'!$J22:$BQ22)</f>
        <v>0</v>
      </c>
      <c r="R17" s="10">
        <f ca="1" xml:space="preserve"> SUMIF( Time!$J347:$BQ347, Time!R$28, 'Supply Chain finance'!$J22:$BQ22)</f>
        <v>0</v>
      </c>
      <c r="S17" s="10">
        <f ca="1" xml:space="preserve"> SUMIF( Time!$J347:$BQ347, Time!S$28, 'Supply Chain finance'!$J22:$BQ22)</f>
        <v>0</v>
      </c>
    </row>
    <row r="18" spans="5:19">
      <c r="E18" s="17" t="str">
        <f xml:space="preserve"> 'Supply Chain finance'!E$29</f>
        <v xml:space="preserve">Supply Chain Finance principal repayment </v>
      </c>
      <c r="F18" s="17">
        <f xml:space="preserve"> 'Supply Chain finance'!F$29</f>
        <v>0</v>
      </c>
      <c r="G18" s="17" t="str">
        <f xml:space="preserve"> 'Supply Chain finance'!G$29</f>
        <v>GBP</v>
      </c>
      <c r="H18" s="44">
        <f ca="1" xml:space="preserve"> 'Supply Chain finance'!H$29</f>
        <v>-4060000</v>
      </c>
      <c r="I18" s="17">
        <f xml:space="preserve"> 'Supply Chain finance'!I$29</f>
        <v>0</v>
      </c>
      <c r="J18" s="10">
        <f ca="1" xml:space="preserve"> SUMIF( Time!$J347:$BQ347, Time!J$28, 'Supply Chain finance'!$J29:$BQ29)</f>
        <v>0</v>
      </c>
      <c r="K18" s="10">
        <f ca="1" xml:space="preserve"> SUMIF( Time!$J347:$BQ347, Time!K$28, 'Supply Chain finance'!$J29:$BQ29)</f>
        <v>-840000</v>
      </c>
      <c r="L18" s="10">
        <f ca="1" xml:space="preserve"> SUMIF( Time!$J347:$BQ347, Time!L$28, 'Supply Chain finance'!$J29:$BQ29)</f>
        <v>-560000</v>
      </c>
      <c r="M18" s="10">
        <f ca="1" xml:space="preserve"> SUMIF( Time!$J347:$BQ347, Time!M$28, 'Supply Chain finance'!$J29:$BQ29)</f>
        <v>-420000</v>
      </c>
      <c r="N18" s="10">
        <f ca="1" xml:space="preserve"> SUMIF( Time!$J347:$BQ347, Time!N$28, 'Supply Chain finance'!$J29:$BQ29)</f>
        <v>-1540000</v>
      </c>
      <c r="O18" s="10">
        <f ca="1" xml:space="preserve"> SUMIF( Time!$J347:$BQ347, Time!O$28, 'Supply Chain finance'!$J29:$BQ29)</f>
        <v>-700000</v>
      </c>
      <c r="P18" s="10">
        <f ca="1" xml:space="preserve"> SUMIF( Time!$J347:$BQ347, Time!P$28, 'Supply Chain finance'!$J29:$BQ29)</f>
        <v>0</v>
      </c>
      <c r="Q18" s="10">
        <f ca="1" xml:space="preserve"> SUMIF( Time!$J347:$BQ347, Time!Q$28, 'Supply Chain finance'!$J29:$BQ29)</f>
        <v>0</v>
      </c>
      <c r="R18" s="10">
        <f ca="1" xml:space="preserve"> SUMIF( Time!$J347:$BQ347, Time!R$28, 'Supply Chain finance'!$J29:$BQ29)</f>
        <v>0</v>
      </c>
      <c r="S18" s="10">
        <f ca="1" xml:space="preserve"> SUMIF( Time!$J347:$BQ347, Time!S$28, 'Supply Chain finance'!$J29:$BQ29)</f>
        <v>0</v>
      </c>
    </row>
    <row r="19" spans="5:19">
      <c r="E19" s="17" t="str">
        <f xml:space="preserve"> 'Invoice finance'!E$21</f>
        <v>Invoice finance drawdown</v>
      </c>
      <c r="F19" s="17">
        <f xml:space="preserve"> 'Invoice finance'!F$21</f>
        <v>0</v>
      </c>
      <c r="G19" s="17" t="str">
        <f xml:space="preserve"> 'Invoice finance'!G$21</f>
        <v>GBP</v>
      </c>
      <c r="H19" s="44">
        <f ca="1" xml:space="preserve"> 'Invoice finance'!H$21</f>
        <v>10288652.149009656</v>
      </c>
      <c r="I19" s="17">
        <f xml:space="preserve"> 'Invoice finance'!I$21</f>
        <v>0</v>
      </c>
      <c r="J19" s="10">
        <f ca="1" xml:space="preserve"> SUMIF( Time!$J347:$BQ347, Time!J$28, 'Invoice finance'!$J21:$BQ21)</f>
        <v>253800</v>
      </c>
      <c r="K19" s="10">
        <f ca="1" xml:space="preserve"> SUMIF( Time!$J347:$BQ347, Time!K$28, 'Invoice finance'!$J21:$BQ21)</f>
        <v>1252800</v>
      </c>
      <c r="L19" s="10">
        <f ca="1" xml:space="preserve"> SUMIF( Time!$J347:$BQ347, Time!L$28, 'Invoice finance'!$J21:$BQ21)</f>
        <v>3252452.1490096571</v>
      </c>
      <c r="M19" s="10">
        <f ca="1" xml:space="preserve"> SUMIF( Time!$J347:$BQ347, Time!M$28, 'Invoice finance'!$J21:$BQ21)</f>
        <v>3888000</v>
      </c>
      <c r="N19" s="10">
        <f ca="1" xml:space="preserve"> SUMIF( Time!$J347:$BQ347, Time!N$28, 'Invoice finance'!$J21:$BQ21)</f>
        <v>1641600</v>
      </c>
      <c r="O19" s="10">
        <f ca="1" xml:space="preserve"> SUMIF( Time!$J347:$BQ347, Time!O$28, 'Invoice finance'!$J21:$BQ21)</f>
        <v>0</v>
      </c>
      <c r="P19" s="10">
        <f ca="1" xml:space="preserve"> SUMIF( Time!$J347:$BQ347, Time!P$28, 'Invoice finance'!$J21:$BQ21)</f>
        <v>0</v>
      </c>
      <c r="Q19" s="10">
        <f ca="1" xml:space="preserve"> SUMIF( Time!$J347:$BQ347, Time!Q$28, 'Invoice finance'!$J21:$BQ21)</f>
        <v>0</v>
      </c>
      <c r="R19" s="10">
        <f ca="1" xml:space="preserve"> SUMIF( Time!$J347:$BQ347, Time!R$28, 'Invoice finance'!$J21:$BQ21)</f>
        <v>0</v>
      </c>
      <c r="S19" s="10">
        <f ca="1" xml:space="preserve"> SUMIF( Time!$J347:$BQ347, Time!S$28, 'Invoice finance'!$J21:$BQ21)</f>
        <v>0</v>
      </c>
    </row>
    <row r="20" spans="5:19">
      <c r="E20" s="17" t="str">
        <f xml:space="preserve"> 'Invoice finance'!E$28</f>
        <v xml:space="preserve">Invoice finance principal repayment </v>
      </c>
      <c r="F20" s="17">
        <f xml:space="preserve"> 'Invoice finance'!F$28</f>
        <v>0</v>
      </c>
      <c r="G20" s="17" t="str">
        <f xml:space="preserve"> 'Invoice finance'!G$28</f>
        <v>GBP</v>
      </c>
      <c r="H20" s="44">
        <f ca="1" xml:space="preserve"> 'Invoice finance'!H$28</f>
        <v>-10288652.149009656</v>
      </c>
      <c r="I20" s="17">
        <f xml:space="preserve"> 'Invoice finance'!I$28</f>
        <v>0</v>
      </c>
      <c r="J20" s="10">
        <f ca="1" xml:space="preserve"> SUMIF( Time!$J347:$BQ347, Time!J$28, 'Invoice finance'!$J28:$BQ28)</f>
        <v>-113400</v>
      </c>
      <c r="K20" s="10">
        <f ca="1" xml:space="preserve"> SUMIF( Time!$J347:$BQ347, Time!K$28, 'Invoice finance'!$J28:$BQ28)</f>
        <v>-799200</v>
      </c>
      <c r="L20" s="10">
        <f ca="1" xml:space="preserve"> SUMIF( Time!$J347:$BQ347, Time!L$28, 'Invoice finance'!$J28:$BQ28)</f>
        <v>-2604452.1490096571</v>
      </c>
      <c r="M20" s="10">
        <f ca="1" xml:space="preserve"> SUMIF( Time!$J347:$BQ347, Time!M$28, 'Invoice finance'!$J28:$BQ28)</f>
        <v>-3726000</v>
      </c>
      <c r="N20" s="10">
        <f ca="1" xml:space="preserve"> SUMIF( Time!$J347:$BQ347, Time!N$28, 'Invoice finance'!$J28:$BQ28)</f>
        <v>-3045600</v>
      </c>
      <c r="O20" s="10">
        <f ca="1" xml:space="preserve"> SUMIF( Time!$J347:$BQ347, Time!O$28, 'Invoice finance'!$J28:$BQ28)</f>
        <v>0</v>
      </c>
      <c r="P20" s="10">
        <f ca="1" xml:space="preserve"> SUMIF( Time!$J347:$BQ347, Time!P$28, 'Invoice finance'!$J28:$BQ28)</f>
        <v>0</v>
      </c>
      <c r="Q20" s="10">
        <f ca="1" xml:space="preserve"> SUMIF( Time!$J347:$BQ347, Time!Q$28, 'Invoice finance'!$J28:$BQ28)</f>
        <v>0</v>
      </c>
      <c r="R20" s="10">
        <f ca="1" xml:space="preserve"> SUMIF( Time!$J347:$BQ347, Time!R$28, 'Invoice finance'!$J28:$BQ28)</f>
        <v>0</v>
      </c>
      <c r="S20" s="10">
        <f ca="1" xml:space="preserve"> SUMIF( Time!$J347:$BQ347, Time!S$28, 'Invoice finance'!$J28:$BQ28)</f>
        <v>0</v>
      </c>
    </row>
    <row r="21" spans="5:19">
      <c r="E21" s="17" t="str">
        <f xml:space="preserve"> 'Asset Finance'!E$22</f>
        <v>Asset Finance drawdown</v>
      </c>
      <c r="F21" s="17">
        <f xml:space="preserve"> 'Asset Finance'!F$22</f>
        <v>0</v>
      </c>
      <c r="G21" s="17" t="str">
        <f xml:space="preserve"> 'Asset Finance'!G$22</f>
        <v>GBP</v>
      </c>
      <c r="H21" s="44">
        <f ca="1" xml:space="preserve"> 'Asset Finance'!H$22</f>
        <v>2450000</v>
      </c>
      <c r="I21" s="17">
        <f xml:space="preserve"> 'Asset Finance'!I$22</f>
        <v>0</v>
      </c>
      <c r="J21" s="10">
        <f ca="1" xml:space="preserve"> SUMIF( Time!$J347:$BQ347, Time!J$28, 'Asset Finance'!$J22:$BQ22)</f>
        <v>525000</v>
      </c>
      <c r="K21" s="10">
        <f ca="1" xml:space="preserve"> SUMIF( Time!$J347:$BQ347, Time!K$28, 'Asset Finance'!$J22:$BQ22)</f>
        <v>700000</v>
      </c>
      <c r="L21" s="10">
        <f ca="1" xml:space="preserve"> SUMIF( Time!$J347:$BQ347, Time!L$28, 'Asset Finance'!$J22:$BQ22)</f>
        <v>700000</v>
      </c>
      <c r="M21" s="10">
        <f ca="1" xml:space="preserve"> SUMIF( Time!$J347:$BQ347, Time!M$28, 'Asset Finance'!$J22:$BQ22)</f>
        <v>525000</v>
      </c>
      <c r="N21" s="10">
        <f ca="1" xml:space="preserve"> SUMIF( Time!$J347:$BQ347, Time!N$28, 'Asset Finance'!$J22:$BQ22)</f>
        <v>0</v>
      </c>
      <c r="O21" s="10">
        <f ca="1" xml:space="preserve"> SUMIF( Time!$J347:$BQ347, Time!O$28, 'Asset Finance'!$J22:$BQ22)</f>
        <v>0</v>
      </c>
      <c r="P21" s="10">
        <f ca="1" xml:space="preserve"> SUMIF( Time!$J347:$BQ347, Time!P$28, 'Asset Finance'!$J22:$BQ22)</f>
        <v>0</v>
      </c>
      <c r="Q21" s="10">
        <f ca="1" xml:space="preserve"> SUMIF( Time!$J347:$BQ347, Time!Q$28, 'Asset Finance'!$J22:$BQ22)</f>
        <v>0</v>
      </c>
      <c r="R21" s="10">
        <f ca="1" xml:space="preserve"> SUMIF( Time!$J347:$BQ347, Time!R$28, 'Asset Finance'!$J22:$BQ22)</f>
        <v>0</v>
      </c>
      <c r="S21" s="10">
        <f ca="1" xml:space="preserve"> SUMIF( Time!$J347:$BQ347, Time!S$28, 'Asset Finance'!$J22:$BQ22)</f>
        <v>0</v>
      </c>
    </row>
    <row r="22" spans="5:19">
      <c r="E22" s="17" t="str">
        <f xml:space="preserve"> 'Asset Finance'!E$29</f>
        <v xml:space="preserve">Asset Finance principal repayment </v>
      </c>
      <c r="F22" s="17">
        <f xml:space="preserve"> 'Asset Finance'!F$29</f>
        <v>0</v>
      </c>
      <c r="G22" s="17" t="str">
        <f xml:space="preserve"> 'Asset Finance'!G$29</f>
        <v>GBP</v>
      </c>
      <c r="H22" s="44">
        <f ca="1" xml:space="preserve"> 'Asset Finance'!H$29</f>
        <v>-2105274.653974223</v>
      </c>
      <c r="I22" s="17">
        <f xml:space="preserve"> 'Asset Finance'!I$29</f>
        <v>0</v>
      </c>
      <c r="J22" s="10">
        <f ca="1" xml:space="preserve"> SUMIF( Time!$J347:$BQ347, Time!J$28, 'Asset Finance'!$J29:$BQ29)</f>
        <v>-27393.859109760804</v>
      </c>
      <c r="K22" s="10">
        <f ca="1" xml:space="preserve"> SUMIF( Time!$J347:$BQ347, Time!K$28, 'Asset Finance'!$J29:$BQ29)</f>
        <v>-140699.86100820423</v>
      </c>
      <c r="L22" s="10">
        <f ca="1" xml:space="preserve"> SUMIF( Time!$J347:$BQ347, Time!L$28, 'Asset Finance'!$J29:$BQ29)</f>
        <v>-347225.69629960117</v>
      </c>
      <c r="M22" s="10">
        <f ca="1" xml:space="preserve"> SUMIF( Time!$J347:$BQ347, Time!M$28, 'Asset Finance'!$J29:$BQ29)</f>
        <v>-339257.68448187568</v>
      </c>
      <c r="N22" s="10">
        <f ca="1" xml:space="preserve"> SUMIF( Time!$J347:$BQ347, Time!N$28, 'Asset Finance'!$J29:$BQ29)</f>
        <v>-359545.50910476642</v>
      </c>
      <c r="O22" s="10">
        <f ca="1" xml:space="preserve"> SUMIF( Time!$J347:$BQ347, Time!O$28, 'Asset Finance'!$J29:$BQ29)</f>
        <v>-278518.10678386141</v>
      </c>
      <c r="P22" s="10">
        <f ca="1" xml:space="preserve"> SUMIF( Time!$J347:$BQ347, Time!P$28, 'Asset Finance'!$J29:$BQ29)</f>
        <v>-215751.09086917544</v>
      </c>
      <c r="Q22" s="10">
        <f ca="1" xml:space="preserve"> SUMIF( Time!$J347:$BQ347, Time!Q$28, 'Asset Finance'!$J29:$BQ29)</f>
        <v>-167129.28918248854</v>
      </c>
      <c r="R22" s="10">
        <f ca="1" xml:space="preserve"> SUMIF( Time!$J347:$BQ347, Time!R$28, 'Asset Finance'!$J29:$BQ29)</f>
        <v>-129464.92733879652</v>
      </c>
      <c r="S22" s="10">
        <f ca="1" xml:space="preserve"> SUMIF( Time!$J347:$BQ347, Time!S$28, 'Asset Finance'!$J29:$BQ29)</f>
        <v>-100288.62979569269</v>
      </c>
    </row>
    <row r="23" spans="5:19">
      <c r="E23" s="17" t="str">
        <f xml:space="preserve"> 'Supply Chain finance'!E$48</f>
        <v xml:space="preserve">Supply Chain Finance interest paid </v>
      </c>
      <c r="F23" s="17">
        <f xml:space="preserve"> 'Supply Chain finance'!F$48</f>
        <v>0</v>
      </c>
      <c r="G23" s="17" t="str">
        <f xml:space="preserve"> 'Supply Chain finance'!G$48</f>
        <v>GBP</v>
      </c>
      <c r="H23" s="44">
        <f ca="1" xml:space="preserve"> 'Supply Chain finance'!H$48</f>
        <v>-162400</v>
      </c>
      <c r="I23" s="17">
        <f xml:space="preserve"> 'Supply Chain finance'!I$48</f>
        <v>0</v>
      </c>
      <c r="J23" s="10">
        <f ca="1" xml:space="preserve"> SUMIF( Time!$J347:$BQ347, Time!J$28, 'Supply Chain finance'!$J48:$BQ48)</f>
        <v>-11200</v>
      </c>
      <c r="K23" s="10">
        <f ca="1" xml:space="preserve"> SUMIF( Time!$J347:$BQ347, Time!K$28, 'Supply Chain finance'!$J48:$BQ48)</f>
        <v>-37333.333333333336</v>
      </c>
      <c r="L23" s="10">
        <f ca="1" xml:space="preserve"> SUMIF( Time!$J347:$BQ347, Time!L$28, 'Supply Chain finance'!$J48:$BQ48)</f>
        <v>-10266.666666666666</v>
      </c>
      <c r="M23" s="10">
        <f ca="1" xml:space="preserve"> SUMIF( Time!$J347:$BQ347, Time!M$28, 'Supply Chain finance'!$J48:$BQ48)</f>
        <v>-39200</v>
      </c>
      <c r="N23" s="10">
        <f ca="1" xml:space="preserve"> SUMIF( Time!$J347:$BQ347, Time!N$28, 'Supply Chain finance'!$J48:$BQ48)</f>
        <v>-56933.333333333336</v>
      </c>
      <c r="O23" s="10">
        <f ca="1" xml:space="preserve"> SUMIF( Time!$J347:$BQ347, Time!O$28, 'Supply Chain finance'!$J48:$BQ48)</f>
        <v>-7466.666666666667</v>
      </c>
      <c r="P23" s="10">
        <f ca="1" xml:space="preserve"> SUMIF( Time!$J347:$BQ347, Time!P$28, 'Supply Chain finance'!$J48:$BQ48)</f>
        <v>0</v>
      </c>
      <c r="Q23" s="10">
        <f ca="1" xml:space="preserve"> SUMIF( Time!$J347:$BQ347, Time!Q$28, 'Supply Chain finance'!$J48:$BQ48)</f>
        <v>0</v>
      </c>
      <c r="R23" s="10">
        <f ca="1" xml:space="preserve"> SUMIF( Time!$J347:$BQ347, Time!R$28, 'Supply Chain finance'!$J48:$BQ48)</f>
        <v>0</v>
      </c>
      <c r="S23" s="10">
        <f ca="1" xml:space="preserve"> SUMIF( Time!$J347:$BQ347, Time!S$28, 'Supply Chain finance'!$J48:$BQ48)</f>
        <v>0</v>
      </c>
    </row>
    <row r="24" spans="5:19">
      <c r="E24" s="17" t="str">
        <f xml:space="preserve"> 'Invoice finance'!E$47</f>
        <v xml:space="preserve">Invoice finance interest paid </v>
      </c>
      <c r="F24" s="17">
        <f xml:space="preserve"> 'Invoice finance'!F$47</f>
        <v>0</v>
      </c>
      <c r="G24" s="17" t="str">
        <f xml:space="preserve"> 'Invoice finance'!G$47</f>
        <v>GBP</v>
      </c>
      <c r="H24" s="44">
        <f ca="1" xml:space="preserve"> 'Invoice finance'!H$47</f>
        <v>-171477.53581682761</v>
      </c>
      <c r="I24" s="17">
        <f xml:space="preserve"> 'Invoice finance'!I$47</f>
        <v>0</v>
      </c>
      <c r="J24" s="10">
        <f ca="1" xml:space="preserve"> SUMIF( Time!$J347:$BQ347, Time!J$28, 'Invoice finance'!$J47:$BQ47)</f>
        <v>-2385</v>
      </c>
      <c r="K24" s="10">
        <f ca="1" xml:space="preserve"> SUMIF( Time!$J347:$BQ347, Time!K$28, 'Invoice finance'!$J47:$BQ47)</f>
        <v>-15300</v>
      </c>
      <c r="L24" s="10">
        <f ca="1" xml:space="preserve"> SUMIF( Time!$J347:$BQ347, Time!L$28, 'Invoice finance'!$J47:$BQ47)</f>
        <v>-46107.535816827614</v>
      </c>
      <c r="M24" s="10">
        <f ca="1" xml:space="preserve"> SUMIF( Time!$J347:$BQ347, Time!M$28, 'Invoice finance'!$J47:$BQ47)</f>
        <v>-62550</v>
      </c>
      <c r="N24" s="10">
        <f ca="1" xml:space="preserve"> SUMIF( Time!$J347:$BQ347, Time!N$28, 'Invoice finance'!$J47:$BQ47)</f>
        <v>-45135</v>
      </c>
      <c r="O24" s="10">
        <f ca="1" xml:space="preserve"> SUMIF( Time!$J347:$BQ347, Time!O$28, 'Invoice finance'!$J47:$BQ47)</f>
        <v>0</v>
      </c>
      <c r="P24" s="10">
        <f ca="1" xml:space="preserve"> SUMIF( Time!$J347:$BQ347, Time!P$28, 'Invoice finance'!$J47:$BQ47)</f>
        <v>0</v>
      </c>
      <c r="Q24" s="10">
        <f ca="1" xml:space="preserve"> SUMIF( Time!$J347:$BQ347, Time!Q$28, 'Invoice finance'!$J47:$BQ47)</f>
        <v>0</v>
      </c>
      <c r="R24" s="10">
        <f ca="1" xml:space="preserve"> SUMIF( Time!$J347:$BQ347, Time!R$28, 'Invoice finance'!$J47:$BQ47)</f>
        <v>0</v>
      </c>
      <c r="S24" s="10">
        <f ca="1" xml:space="preserve"> SUMIF( Time!$J347:$BQ347, Time!S$28, 'Invoice finance'!$J47:$BQ47)</f>
        <v>0</v>
      </c>
    </row>
    <row r="25" spans="5:19">
      <c r="E25" s="17" t="str">
        <f xml:space="preserve"> 'Asset Finance'!E$48</f>
        <v xml:space="preserve">Asset Finance interest paid </v>
      </c>
      <c r="F25" s="17">
        <f xml:space="preserve"> 'Asset Finance'!F$48</f>
        <v>0</v>
      </c>
      <c r="G25" s="17" t="str">
        <f xml:space="preserve"> 'Asset Finance'!G$48</f>
        <v>GBP</v>
      </c>
      <c r="H25" s="44">
        <f ca="1" xml:space="preserve"> 'Asset Finance'!H$48</f>
        <v>-336843.94463587576</v>
      </c>
      <c r="I25" s="17">
        <f xml:space="preserve"> 'Asset Finance'!I$48</f>
        <v>0</v>
      </c>
      <c r="J25" s="10">
        <f ca="1" xml:space="preserve"> SUMIF( Time!$J347:$BQ347, Time!J$28, 'Asset Finance'!$J48:$BQ48)</f>
        <v>-4383.0174575617293</v>
      </c>
      <c r="K25" s="10">
        <f ca="1" xml:space="preserve"> SUMIF( Time!$J347:$BQ347, Time!K$28, 'Asset Finance'!$J48:$BQ48)</f>
        <v>-22511.977761312679</v>
      </c>
      <c r="L25" s="10">
        <f ca="1" xml:space="preserve"> SUMIF( Time!$J347:$BQ347, Time!L$28, 'Asset Finance'!$J48:$BQ48)</f>
        <v>-55556.11140793618</v>
      </c>
      <c r="M25" s="10">
        <f ca="1" xml:space="preserve"> SUMIF( Time!$J347:$BQ347, Time!M$28, 'Asset Finance'!$J48:$BQ48)</f>
        <v>-54281.229517100117</v>
      </c>
      <c r="N25" s="10">
        <f ca="1" xml:space="preserve"> SUMIF( Time!$J347:$BQ347, Time!N$28, 'Asset Finance'!$J48:$BQ48)</f>
        <v>-57527.281456762634</v>
      </c>
      <c r="O25" s="10">
        <f ca="1" xml:space="preserve"> SUMIF( Time!$J347:$BQ347, Time!O$28, 'Asset Finance'!$J48:$BQ48)</f>
        <v>-44562.897085417819</v>
      </c>
      <c r="P25" s="10">
        <f ca="1" xml:space="preserve"> SUMIF( Time!$J347:$BQ347, Time!P$28, 'Asset Finance'!$J48:$BQ48)</f>
        <v>-34520.174539068066</v>
      </c>
      <c r="Q25" s="10">
        <f ca="1" xml:space="preserve"> SUMIF( Time!$J347:$BQ347, Time!Q$28, 'Asset Finance'!$J48:$BQ48)</f>
        <v>-26740.686269198173</v>
      </c>
      <c r="R25" s="10">
        <f ca="1" xml:space="preserve"> SUMIF( Time!$J347:$BQ347, Time!R$28, 'Asset Finance'!$J48:$BQ48)</f>
        <v>-20714.388374207443</v>
      </c>
      <c r="S25" s="10">
        <f ca="1" xml:space="preserve"> SUMIF( Time!$J347:$BQ347, Time!S$28, 'Asset Finance'!$J48:$BQ48)</f>
        <v>-16046.180767310831</v>
      </c>
    </row>
    <row r="26" spans="5:19">
      <c r="E26" s="12" t="s">
        <v>181</v>
      </c>
      <c r="F26" s="30"/>
      <c r="G26" s="12" t="s">
        <v>258</v>
      </c>
      <c r="H26" s="56">
        <f ca="1" xml:space="preserve"> SUM( J26:BQ26 )</f>
        <v>114153158.88072786</v>
      </c>
      <c r="I26" s="30"/>
      <c r="J26" s="12">
        <f ca="1" xml:space="preserve"> SUMIF( Time!$J347:$BQ347, Time!J$28, Cashflow!$J26:$BQ26)</f>
        <v>1332026.2822021695</v>
      </c>
      <c r="K26" s="12">
        <f ca="1" xml:space="preserve"> SUMIF( Time!$J347:$BQ347, Time!K$28, Cashflow!$J26:$BQ26)</f>
        <v>625514.6389410824</v>
      </c>
      <c r="L26" s="12">
        <f ca="1" xml:space="preserve"> SUMIF( Time!$J347:$BQ347, Time!L$28, Cashflow!$J26:$BQ26)</f>
        <v>5133086.0684367996</v>
      </c>
      <c r="M26" s="12">
        <f ca="1" xml:space="preserve"> SUMIF( Time!$J347:$BQ347, Time!M$28, Cashflow!$J26:$BQ26)</f>
        <v>1238384.1403857754</v>
      </c>
      <c r="N26" s="12">
        <f ca="1" xml:space="preserve"> SUMIF( Time!$J347:$BQ347, Time!N$28, Cashflow!$J26:$BQ26)</f>
        <v>3822193.4861894138</v>
      </c>
      <c r="O26" s="12">
        <f ca="1" xml:space="preserve"> SUMIF( Time!$J347:$BQ347, Time!O$28, Cashflow!$J26:$BQ26)</f>
        <v>3138108.3854327528</v>
      </c>
      <c r="P26" s="12">
        <f ca="1" xml:space="preserve"> SUMIF( Time!$J347:$BQ347, Time!P$28, Cashflow!$J26:$BQ26)</f>
        <v>9637853.3833863158</v>
      </c>
      <c r="Q26" s="12">
        <f ca="1" xml:space="preserve"> SUMIF( Time!$J347:$BQ347, Time!Q$28, Cashflow!$J26:$BQ26)</f>
        <v>20676810.522961512</v>
      </c>
      <c r="R26" s="12">
        <f ca="1" xml:space="preserve"> SUMIF( Time!$J347:$BQ347, Time!R$28, Cashflow!$J26:$BQ26)</f>
        <v>23371340.249339532</v>
      </c>
      <c r="S26" s="12">
        <f ca="1" xml:space="preserve"> SUMIF( Time!$J347:$BQ347, Time!S$28, Cashflow!$J26:$BQ26)</f>
        <v>45177841.723452516</v>
      </c>
    </row>
    <row r="28" spans="5:19">
      <c r="E28" s="17" t="str">
        <f xml:space="preserve"> InpS!E$11</f>
        <v>New share capital issued</v>
      </c>
      <c r="F28" s="17">
        <f xml:space="preserve"> InpS!F$11</f>
        <v>0</v>
      </c>
      <c r="G28" s="17" t="str">
        <f xml:space="preserve"> InpS!G$11</f>
        <v>GBP</v>
      </c>
      <c r="H28" s="44">
        <f xml:space="preserve"> InpS!H$11</f>
        <v>0</v>
      </c>
      <c r="I28" s="17">
        <f xml:space="preserve"> InpS!I$11</f>
        <v>0</v>
      </c>
      <c r="J28" s="10">
        <f xml:space="preserve"> SUMIF( Time!$J347:$BQ347, Time!J$28, InpS!$J11:$BQ11)</f>
        <v>0</v>
      </c>
      <c r="K28" s="10">
        <f xml:space="preserve"> SUMIF( Time!$J347:$BQ347, Time!K$28, InpS!$J11:$BQ11)</f>
        <v>0</v>
      </c>
      <c r="L28" s="10">
        <f xml:space="preserve"> SUMIF( Time!$J347:$BQ347, Time!L$28, InpS!$J11:$BQ11)</f>
        <v>0</v>
      </c>
      <c r="M28" s="10">
        <f xml:space="preserve"> SUMIF( Time!$J347:$BQ347, Time!M$28, InpS!$J11:$BQ11)</f>
        <v>0</v>
      </c>
      <c r="N28" s="10">
        <f xml:space="preserve"> SUMIF( Time!$J347:$BQ347, Time!N$28, InpS!$J11:$BQ11)</f>
        <v>0</v>
      </c>
      <c r="O28" s="10">
        <f xml:space="preserve"> SUMIF( Time!$J347:$BQ347, Time!O$28, InpS!$J11:$BQ11)</f>
        <v>0</v>
      </c>
      <c r="P28" s="10">
        <f xml:space="preserve"> SUMIF( Time!$J347:$BQ347, Time!P$28, InpS!$J11:$BQ11)</f>
        <v>0</v>
      </c>
      <c r="Q28" s="10">
        <f xml:space="preserve"> SUMIF( Time!$J347:$BQ347, Time!Q$28, InpS!$J11:$BQ11)</f>
        <v>0</v>
      </c>
      <c r="R28" s="10">
        <f xml:space="preserve"> SUMIF( Time!$J347:$BQ347, Time!R$28, InpS!$J11:$BQ11)</f>
        <v>0</v>
      </c>
      <c r="S28" s="10">
        <f xml:space="preserve"> SUMIF( Time!$J347:$BQ347, Time!S$28, InpS!$J11:$BQ11)</f>
        <v>0</v>
      </c>
    </row>
    <row r="29" spans="5:19">
      <c r="E29" s="12" t="s">
        <v>115</v>
      </c>
      <c r="F29" s="30"/>
      <c r="G29" s="12" t="s">
        <v>258</v>
      </c>
      <c r="H29" s="56">
        <f ca="1" xml:space="preserve"> SUM( J29:BQ29 )</f>
        <v>114153158.88072786</v>
      </c>
      <c r="I29" s="30"/>
      <c r="J29" s="12">
        <f ca="1" xml:space="preserve"> SUMIF( Time!$J347:$BQ347, Time!J$28, Cashflow!$J29:$BQ29)</f>
        <v>1332026.2822021695</v>
      </c>
      <c r="K29" s="12">
        <f ca="1" xml:space="preserve"> SUMIF( Time!$J347:$BQ347, Time!K$28, Cashflow!$J29:$BQ29)</f>
        <v>625514.6389410824</v>
      </c>
      <c r="L29" s="12">
        <f ca="1" xml:space="preserve"> SUMIF( Time!$J347:$BQ347, Time!L$28, Cashflow!$J29:$BQ29)</f>
        <v>5133086.0684367996</v>
      </c>
      <c r="M29" s="12">
        <f ca="1" xml:space="preserve"> SUMIF( Time!$J347:$BQ347, Time!M$28, Cashflow!$J29:$BQ29)</f>
        <v>1238384.1403857754</v>
      </c>
      <c r="N29" s="12">
        <f ca="1" xml:space="preserve"> SUMIF( Time!$J347:$BQ347, Time!N$28, Cashflow!$J29:$BQ29)</f>
        <v>3822193.4861894138</v>
      </c>
      <c r="O29" s="12">
        <f ca="1" xml:space="preserve"> SUMIF( Time!$J347:$BQ347, Time!O$28, Cashflow!$J29:$BQ29)</f>
        <v>3138108.3854327528</v>
      </c>
      <c r="P29" s="12">
        <f ca="1" xml:space="preserve"> SUMIF( Time!$J347:$BQ347, Time!P$28, Cashflow!$J29:$BQ29)</f>
        <v>9637853.3833863158</v>
      </c>
      <c r="Q29" s="12">
        <f ca="1" xml:space="preserve"> SUMIF( Time!$J347:$BQ347, Time!Q$28, Cashflow!$J29:$BQ29)</f>
        <v>20676810.522961512</v>
      </c>
      <c r="R29" s="12">
        <f ca="1" xml:space="preserve"> SUMIF( Time!$J347:$BQ347, Time!R$28, Cashflow!$J29:$BQ29)</f>
        <v>23371340.249339532</v>
      </c>
      <c r="S29" s="12">
        <f ca="1" xml:space="preserve"> SUMIF( Time!$J347:$BQ347, Time!S$28, Cashflow!$J29:$BQ29)</f>
        <v>45177841.723452516</v>
      </c>
    </row>
  </sheetData>
  <conditionalFormatting sqref="F3">
    <cfRule type="cellIs" dxfId="70" priority="8" stopIfTrue="1" operator="notEqual">
      <formula>0</formula>
    </cfRule>
    <cfRule type="cellIs" dxfId="69" priority="9" stopIfTrue="1" operator="equal">
      <formula>""</formula>
    </cfRule>
  </conditionalFormatting>
  <conditionalFormatting sqref="J3:S3">
    <cfRule type="cellIs" dxfId="68" priority="6" stopIfTrue="1" operator="equal">
      <formula>"Construction"</formula>
    </cfRule>
    <cfRule type="cellIs" dxfId="67" priority="7" stopIfTrue="1" operator="equal">
      <formula>"Operations"</formula>
    </cfRule>
  </conditionalFormatting>
  <conditionalFormatting sqref="J3:S3">
    <cfRule type="cellIs" dxfId="66" priority="5" operator="equal">
      <formula>"Fin Close"</formula>
    </cfRule>
  </conditionalFormatting>
  <conditionalFormatting sqref="J3:S3">
    <cfRule type="cellIs" dxfId="65" priority="3" operator="equal">
      <formula>"PPA ext."</formula>
    </cfRule>
    <cfRule type="cellIs" dxfId="64" priority="4" operator="equal">
      <formula>"Delay"</formula>
    </cfRule>
  </conditionalFormatting>
  <conditionalFormatting sqref="F2">
    <cfRule type="cellIs" dxfId="63" priority="1" stopIfTrue="1" operator="notEqual">
      <formula>0</formula>
    </cfRule>
    <cfRule type="cellIs" dxfId="62"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4F81BD"/>
    <outlinePr summaryBelow="0" summaryRight="0"/>
  </sheetPr>
  <dimension ref="A1:BQ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Inventory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Customers!J$14</f>
        <v>1000</v>
      </c>
      <c r="K8" s="10">
        <f xml:space="preserve"> Customers!K$14</f>
        <v>1000</v>
      </c>
      <c r="L8" s="10">
        <f xml:space="preserve"> Customers!L$14</f>
        <v>1000</v>
      </c>
      <c r="M8" s="10">
        <f xml:space="preserve"> Customers!M$14</f>
        <v>1000</v>
      </c>
      <c r="N8" s="10">
        <f xml:space="preserve"> Customers!N$14</f>
        <v>3000</v>
      </c>
      <c r="O8" s="10">
        <f xml:space="preserve"> Customers!O$14</f>
        <v>3000</v>
      </c>
      <c r="P8" s="10">
        <f xml:space="preserve"> Customers!P$14</f>
        <v>3000</v>
      </c>
      <c r="Q8" s="10">
        <f xml:space="preserve"> Customers!Q$14</f>
        <v>5000</v>
      </c>
      <c r="R8" s="10">
        <f xml:space="preserve"> Customers!R$14</f>
        <v>5000</v>
      </c>
      <c r="S8" s="10">
        <f xml:space="preserve"> Customers!S$14</f>
        <v>5000</v>
      </c>
      <c r="T8" s="10">
        <f xml:space="preserve"> Customers!T$14</f>
        <v>5000</v>
      </c>
      <c r="U8" s="10">
        <f xml:space="preserve"> Customers!U$14</f>
        <v>5000</v>
      </c>
      <c r="V8" s="10">
        <f xml:space="preserve"> Customers!V$14</f>
        <v>5297.3154717964762</v>
      </c>
      <c r="W8" s="10">
        <f xml:space="preserve"> Customers!W$14</f>
        <v>5612.3102415468647</v>
      </c>
      <c r="X8" s="10">
        <f xml:space="preserve"> Customers!X$14</f>
        <v>5946.035575013605</v>
      </c>
      <c r="Y8" s="10">
        <f xml:space="preserve"> Customers!Y$14</f>
        <v>6299.6052494743653</v>
      </c>
      <c r="Z8" s="10">
        <f xml:space="preserve"> Customers!Z$14</f>
        <v>6674.1992708501712</v>
      </c>
      <c r="AA8" s="10">
        <f xml:space="preserve"> Customers!AA$14</f>
        <v>7071.0678118654751</v>
      </c>
      <c r="AB8" s="10">
        <f xml:space="preserve"> Customers!AB$14</f>
        <v>7491.5353843834073</v>
      </c>
      <c r="AC8" s="10">
        <f xml:space="preserve"> Customers!AC$14</f>
        <v>7937.0052598409975</v>
      </c>
      <c r="AD8" s="10">
        <f xml:space="preserve"> Customers!AD$14</f>
        <v>8408.9641525371462</v>
      </c>
      <c r="AE8" s="10">
        <f xml:space="preserve"> Customers!AE$14</f>
        <v>8908.9871814033941</v>
      </c>
      <c r="AF8" s="10">
        <f xml:space="preserve"> Customers!AF$14</f>
        <v>9438.7431268169366</v>
      </c>
      <c r="AG8" s="10">
        <f xml:space="preserve"> Customers!AG$14</f>
        <v>10000.000000000002</v>
      </c>
      <c r="AH8" s="10">
        <f xml:space="preserve"> Customers!AH$14</f>
        <v>10594.630943592954</v>
      </c>
      <c r="AI8" s="10">
        <f xml:space="preserve"> Customers!AI$14</f>
        <v>11224.620483093731</v>
      </c>
      <c r="AJ8" s="10">
        <f xml:space="preserve"> Customers!AJ$14</f>
        <v>11892.071150027214</v>
      </c>
      <c r="AK8" s="10">
        <f xml:space="preserve"> Customers!AK$14</f>
        <v>12599.210498948736</v>
      </c>
      <c r="AL8" s="10">
        <f xml:space="preserve"> Customers!AL$14</f>
        <v>13348.39854170035</v>
      </c>
      <c r="AM8" s="10">
        <f xml:space="preserve"> Customers!AM$14</f>
        <v>14142.135623730957</v>
      </c>
      <c r="AN8" s="10">
        <f xml:space="preserve"> Customers!AN$14</f>
        <v>14983.070768766824</v>
      </c>
      <c r="AO8" s="10">
        <f xml:space="preserve"> Customers!AO$14</f>
        <v>15874.010519682004</v>
      </c>
      <c r="AP8" s="10">
        <f xml:space="preserve"> Customers!AP$14</f>
        <v>16817.9283050743</v>
      </c>
      <c r="AQ8" s="10">
        <f xml:space="preserve"> Customers!AQ$14</f>
        <v>17817.974362806795</v>
      </c>
      <c r="AR8" s="10">
        <f xml:space="preserve"> Customers!AR$14</f>
        <v>18877.486253633881</v>
      </c>
      <c r="AS8" s="10">
        <f xml:space="preserve"> Customers!AS$14</f>
        <v>20000.000000000011</v>
      </c>
      <c r="AT8" s="10">
        <f xml:space="preserve"> Customers!AT$14</f>
        <v>21189.261887185919</v>
      </c>
      <c r="AU8" s="10">
        <f xml:space="preserve"> Customers!AU$14</f>
        <v>22449.240966187477</v>
      </c>
      <c r="AV8" s="10">
        <f xml:space="preserve"> Customers!AV$14</f>
        <v>23784.142300054442</v>
      </c>
      <c r="AW8" s="10">
        <f xml:space="preserve"> Customers!AW$14</f>
        <v>25198.420997897487</v>
      </c>
      <c r="AX8" s="10">
        <f xml:space="preserve"> Customers!AX$14</f>
        <v>26696.797083400714</v>
      </c>
      <c r="AY8" s="10">
        <f xml:space="preserve"> Customers!AY$14</f>
        <v>28284.271247461929</v>
      </c>
      <c r="AZ8" s="10">
        <f xml:space="preserve"> Customers!AZ$14</f>
        <v>29966.141537533662</v>
      </c>
      <c r="BA8" s="10">
        <f xml:space="preserve"> Customers!BA$14</f>
        <v>31748.021039364026</v>
      </c>
      <c r="BB8" s="10">
        <f xml:space="preserve"> Customers!BB$14</f>
        <v>33635.856610148621</v>
      </c>
      <c r="BC8" s="10">
        <f xml:space="preserve"> Customers!BC$14</f>
        <v>35635.948725613613</v>
      </c>
      <c r="BD8" s="10">
        <f xml:space="preserve"> Customers!BD$14</f>
        <v>37754.972507267783</v>
      </c>
      <c r="BE8" s="10">
        <f xml:space="preserve"> Customers!BE$14</f>
        <v>40000.000000000051</v>
      </c>
      <c r="BF8" s="10">
        <f xml:space="preserve"> Customers!BF$14</f>
        <v>42378.523774371868</v>
      </c>
      <c r="BG8" s="10">
        <f xml:space="preserve"> Customers!BG$14</f>
        <v>44898.481932374983</v>
      </c>
      <c r="BH8" s="10">
        <f xml:space="preserve"> Customers!BH$14</f>
        <v>47568.284600108913</v>
      </c>
      <c r="BI8" s="10">
        <f xml:space="preserve"> Customers!BI$14</f>
        <v>50396.841995795003</v>
      </c>
      <c r="BJ8" s="10">
        <f xml:space="preserve"> Customers!BJ$14</f>
        <v>53393.594166801457</v>
      </c>
      <c r="BK8" s="10">
        <f xml:space="preserve"> Customers!BK$14</f>
        <v>56568.542494923888</v>
      </c>
      <c r="BL8" s="10">
        <f xml:space="preserve"> Customers!BL$14</f>
        <v>59932.283075067353</v>
      </c>
      <c r="BM8" s="10">
        <f xml:space="preserve"> Customers!BM$14</f>
        <v>63496.042078728082</v>
      </c>
      <c r="BN8" s="10">
        <f xml:space="preserve"> Customers!BN$14</f>
        <v>67271.713220297272</v>
      </c>
      <c r="BO8" s="10">
        <f xml:space="preserve"> Customers!BO$14</f>
        <v>71271.897451227269</v>
      </c>
      <c r="BP8" s="10">
        <f xml:space="preserve"> Customers!BP$14</f>
        <v>75509.94501453561</v>
      </c>
      <c r="BQ8" s="10">
        <f xml:space="preserve"> Customers!BQ$14</f>
        <v>80000.000000000146</v>
      </c>
    </row>
    <row r="9" spans="1:6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Customers!J$35</f>
        <v>0</v>
      </c>
      <c r="K9" s="10">
        <f ca="1" xml:space="preserve"> Customers!K$35</f>
        <v>0</v>
      </c>
      <c r="L9" s="10">
        <f ca="1" xml:space="preserve"> Customers!L$35</f>
        <v>0</v>
      </c>
      <c r="M9" s="10">
        <f ca="1" xml:space="preserve"> Customers!M$35</f>
        <v>0</v>
      </c>
      <c r="N9" s="10">
        <f ca="1" xml:space="preserve"> Customers!N$35</f>
        <v>0</v>
      </c>
      <c r="O9" s="10">
        <f ca="1" xml:space="preserve"> Customers!O$35</f>
        <v>0</v>
      </c>
      <c r="P9" s="10">
        <f ca="1" xml:space="preserve"> Customers!P$35</f>
        <v>0</v>
      </c>
      <c r="Q9" s="10">
        <f ca="1" xml:space="preserve"> Customers!Q$35</f>
        <v>0</v>
      </c>
      <c r="R9" s="10">
        <f ca="1" xml:space="preserve"> Customers!R$35</f>
        <v>0</v>
      </c>
      <c r="S9" s="10">
        <f ca="1" xml:space="preserve"> Customers!S$35</f>
        <v>0</v>
      </c>
      <c r="T9" s="10">
        <f ca="1" xml:space="preserve"> Customers!T$35</f>
        <v>0</v>
      </c>
      <c r="U9" s="10">
        <f ca="1" xml:space="preserve"> Customers!U$35</f>
        <v>0</v>
      </c>
      <c r="V9" s="10">
        <f ca="1" xml:space="preserve"> Customers!V$35</f>
        <v>0</v>
      </c>
      <c r="W9" s="10">
        <f ca="1" xml:space="preserve"> Customers!W$35</f>
        <v>0</v>
      </c>
      <c r="X9" s="10">
        <f ca="1" xml:space="preserve"> Customers!X$35</f>
        <v>0</v>
      </c>
      <c r="Y9" s="10">
        <f ca="1" xml:space="preserve"> Customers!Y$35</f>
        <v>0</v>
      </c>
      <c r="Z9" s="10">
        <f ca="1" xml:space="preserve"> Customers!Z$35</f>
        <v>0</v>
      </c>
      <c r="AA9" s="10">
        <f ca="1" xml:space="preserve"> Customers!AA$35</f>
        <v>0</v>
      </c>
      <c r="AB9" s="10">
        <f ca="1" xml:space="preserve"> Customers!AB$35</f>
        <v>0</v>
      </c>
      <c r="AC9" s="10">
        <f ca="1" xml:space="preserve"> Customers!AC$35</f>
        <v>0</v>
      </c>
      <c r="AD9" s="10">
        <f ca="1" xml:space="preserve"> Customers!AD$35</f>
        <v>0</v>
      </c>
      <c r="AE9" s="10">
        <f ca="1" xml:space="preserve"> Customers!AE$35</f>
        <v>0</v>
      </c>
      <c r="AF9" s="10">
        <f ca="1" xml:space="preserve"> Customers!AF$35</f>
        <v>0</v>
      </c>
      <c r="AG9" s="10">
        <f ca="1" xml:space="preserve"> Customers!AG$35</f>
        <v>0</v>
      </c>
      <c r="AH9" s="10">
        <f ca="1" xml:space="preserve"> Customers!AH$35</f>
        <v>900</v>
      </c>
      <c r="AI9" s="10">
        <f ca="1" xml:space="preserve"> Customers!AI$35</f>
        <v>900</v>
      </c>
      <c r="AJ9" s="10">
        <f ca="1" xml:space="preserve"> Customers!AJ$35</f>
        <v>900</v>
      </c>
      <c r="AK9" s="10">
        <f ca="1" xml:space="preserve"> Customers!AK$35</f>
        <v>900</v>
      </c>
      <c r="AL9" s="10">
        <f ca="1" xml:space="preserve"> Customers!AL$35</f>
        <v>2700</v>
      </c>
      <c r="AM9" s="10">
        <f ca="1" xml:space="preserve"> Customers!AM$35</f>
        <v>2700</v>
      </c>
      <c r="AN9" s="10">
        <f ca="1" xml:space="preserve"> Customers!AN$35</f>
        <v>2700</v>
      </c>
      <c r="AO9" s="10">
        <f ca="1" xml:space="preserve"> Customers!AO$35</f>
        <v>4500</v>
      </c>
      <c r="AP9" s="10">
        <f ca="1" xml:space="preserve"> Customers!AP$35</f>
        <v>4500</v>
      </c>
      <c r="AQ9" s="10">
        <f ca="1" xml:space="preserve"> Customers!AQ$35</f>
        <v>4500</v>
      </c>
      <c r="AR9" s="10">
        <f ca="1" xml:space="preserve"> Customers!AR$35</f>
        <v>4500</v>
      </c>
      <c r="AS9" s="10">
        <f ca="1" xml:space="preserve"> Customers!AS$35</f>
        <v>4500</v>
      </c>
      <c r="AT9" s="10">
        <f ca="1" xml:space="preserve"> Customers!AT$35</f>
        <v>4767.5839246168289</v>
      </c>
      <c r="AU9" s="10">
        <f ca="1" xml:space="preserve"> Customers!AU$35</f>
        <v>5051.0792173921782</v>
      </c>
      <c r="AV9" s="10">
        <f ca="1" xml:space="preserve"> Customers!AV$35</f>
        <v>5351.4320175122448</v>
      </c>
      <c r="AW9" s="10">
        <f ca="1" xml:space="preserve"> Customers!AW$35</f>
        <v>5669.6447245269292</v>
      </c>
      <c r="AX9" s="10">
        <f ca="1" xml:space="preserve"> Customers!AX$35</f>
        <v>6006.7793437651544</v>
      </c>
      <c r="AY9" s="10">
        <f ca="1" xml:space="preserve"> Customers!AY$35</f>
        <v>6363.9610306789273</v>
      </c>
      <c r="AZ9" s="10">
        <f ca="1" xml:space="preserve"> Customers!AZ$35</f>
        <v>6742.3818459450667</v>
      </c>
      <c r="BA9" s="10">
        <f ca="1" xml:space="preserve"> Customers!BA$35</f>
        <v>7143.3047338568977</v>
      </c>
      <c r="BB9" s="10">
        <f ca="1" xml:space="preserve"> Customers!BB$35</f>
        <v>7568.0677372834316</v>
      </c>
      <c r="BC9" s="10">
        <f ca="1" xml:space="preserve"> Customers!BC$35</f>
        <v>8018.088463263055</v>
      </c>
      <c r="BD9" s="10">
        <f ca="1" xml:space="preserve"> Customers!BD$35</f>
        <v>8494.8688141352432</v>
      </c>
      <c r="BE9" s="10">
        <f ca="1" xml:space="preserve"> Customers!BE$35</f>
        <v>9000.0000000000018</v>
      </c>
      <c r="BF9" s="10">
        <f ca="1" xml:space="preserve"> Customers!BF$35</f>
        <v>9535.1678492336596</v>
      </c>
      <c r="BG9" s="10">
        <f ca="1" xml:space="preserve"> Customers!BG$35</f>
        <v>10102.158434784358</v>
      </c>
      <c r="BH9" s="10">
        <f ca="1" xml:space="preserve"> Customers!BH$35</f>
        <v>10702.864035024493</v>
      </c>
      <c r="BI9" s="10">
        <f ca="1" xml:space="preserve"> Customers!BI$35</f>
        <v>11339.289449053862</v>
      </c>
      <c r="BJ9" s="10">
        <f ca="1" xml:space="preserve"> Customers!BJ$35</f>
        <v>12013.558687530314</v>
      </c>
      <c r="BK9" s="10">
        <f ca="1" xml:space="preserve"> Customers!BK$35</f>
        <v>12727.922061357862</v>
      </c>
      <c r="BL9" s="10">
        <f ca="1" xml:space="preserve"> Customers!BL$35</f>
        <v>13484.763691890141</v>
      </c>
      <c r="BM9" s="10">
        <f ca="1" xml:space="preserve"> Customers!BM$35</f>
        <v>14286.609467713804</v>
      </c>
      <c r="BN9" s="10">
        <f ca="1" xml:space="preserve"> Customers!BN$35</f>
        <v>15136.13547456687</v>
      </c>
      <c r="BO9" s="10">
        <f ca="1" xml:space="preserve"> Customers!BO$35</f>
        <v>16036.176926526115</v>
      </c>
      <c r="BP9" s="10">
        <f ca="1" xml:space="preserve"> Customers!BP$35</f>
        <v>16989.737628270494</v>
      </c>
      <c r="BQ9" s="10">
        <f ca="1" xml:space="preserve"> Customers!BQ$35</f>
        <v>18000.000000000011</v>
      </c>
    </row>
    <row r="10" spans="1:6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Customers!J$24</f>
        <v>1000</v>
      </c>
      <c r="K10" s="10">
        <f ca="1">Customers!K$24</f>
        <v>1000</v>
      </c>
      <c r="L10" s="10">
        <f ca="1">Customers!L$24</f>
        <v>1000</v>
      </c>
      <c r="M10" s="10">
        <f ca="1">Customers!M$24</f>
        <v>1000</v>
      </c>
      <c r="N10" s="10">
        <f ca="1">Customers!N$24</f>
        <v>3000</v>
      </c>
      <c r="O10" s="10">
        <f ca="1">Customers!O$24</f>
        <v>4000</v>
      </c>
      <c r="P10" s="10">
        <f ca="1">Customers!P$24</f>
        <v>3000</v>
      </c>
      <c r="Q10" s="10">
        <f ca="1">Customers!Q$24</f>
        <v>5000</v>
      </c>
      <c r="R10" s="10">
        <f ca="1">Customers!R$24</f>
        <v>7000</v>
      </c>
      <c r="S10" s="10">
        <f ca="1">Customers!S$24</f>
        <v>12000</v>
      </c>
      <c r="T10" s="10">
        <f ca="1">Customers!T$24</f>
        <v>7000</v>
      </c>
      <c r="U10" s="10">
        <f ca="1">Customers!U$24</f>
        <v>12000</v>
      </c>
      <c r="V10" s="10">
        <f ca="1">Customers!V$24</f>
        <v>7297.3154717964753</v>
      </c>
      <c r="W10" s="10">
        <f ca="1">Customers!W$24</f>
        <v>5612.3102415468638</v>
      </c>
      <c r="X10" s="10">
        <f ca="1">Customers!X$24</f>
        <v>8855.6612883569433</v>
      </c>
      <c r="Y10" s="10">
        <f ca="1">Customers!Y$24</f>
        <v>6299.6052494743653</v>
      </c>
      <c r="Z10" s="10">
        <f ca="1">Customers!Z$24</f>
        <v>11829.46580868148</v>
      </c>
      <c r="AA10" s="10">
        <f ca="1">Customers!AA$24</f>
        <v>18900.533620546954</v>
      </c>
      <c r="AB10" s="10">
        <f ca="1">Customers!AB$24</f>
        <v>26392.069004930359</v>
      </c>
      <c r="AC10" s="10">
        <f ca="1">Customers!AC$24</f>
        <v>34329.074264771356</v>
      </c>
      <c r="AD10" s="10">
        <f ca="1">Customers!AD$24</f>
        <v>42738.038417308504</v>
      </c>
      <c r="AE10" s="10">
        <f ca="1">Customers!AE$24</f>
        <v>51647.025598711902</v>
      </c>
      <c r="AF10" s="10">
        <f ca="1">Customers!AF$24</f>
        <v>56085.76872552884</v>
      </c>
      <c r="AG10" s="10">
        <f ca="1">Customers!AG$24</f>
        <v>61085.768725528847</v>
      </c>
      <c r="AH10" s="10">
        <f ca="1">Customers!AH$24</f>
        <v>67580.399669121805</v>
      </c>
      <c r="AI10" s="10">
        <f ca="1">Customers!AI$24</f>
        <v>69705.02015221554</v>
      </c>
      <c r="AJ10" s="10">
        <f ca="1">Customers!AJ$24</f>
        <v>72497.091302242756</v>
      </c>
      <c r="AK10" s="10">
        <f ca="1">Customers!AK$24</f>
        <v>80996.301801191497</v>
      </c>
      <c r="AL10" s="10">
        <f ca="1">Customers!AL$24</f>
        <v>87044.700342891854</v>
      </c>
      <c r="AM10" s="10">
        <f ca="1">Customers!AM$24</f>
        <v>93886.835966622806</v>
      </c>
      <c r="AN10" s="10">
        <f ca="1">Customers!AN$24</f>
        <v>101569.90673538962</v>
      </c>
      <c r="AO10" s="10">
        <f ca="1">Customers!AO$24</f>
        <v>111943.91725507163</v>
      </c>
      <c r="AP10" s="10">
        <f ca="1">Customers!AP$24</f>
        <v>118261.84556014591</v>
      </c>
      <c r="AQ10" s="10">
        <f ca="1">Customers!AQ$24</f>
        <v>130579.81992295271</v>
      </c>
      <c r="AR10" s="10">
        <f ca="1">Customers!AR$24</f>
        <v>138957.3061765866</v>
      </c>
      <c r="AS10" s="10">
        <f ca="1">Customers!AS$24</f>
        <v>148457.3061765866</v>
      </c>
      <c r="AT10" s="10">
        <f ca="1">Customers!AT$24</f>
        <v>159414.15198838935</v>
      </c>
      <c r="AU10" s="10">
        <f ca="1">Customers!AU$24</f>
        <v>166914.47217196898</v>
      </c>
      <c r="AV10" s="10">
        <f ca="1">Customers!AV$24</f>
        <v>176050.04648953566</v>
      </c>
      <c r="AW10" s="10">
        <f ca="1">Customers!AW$24</f>
        <v>186918.11221196008</v>
      </c>
      <c r="AX10" s="10">
        <f ca="1">Customers!AX$24</f>
        <v>194621.68863912593</v>
      </c>
      <c r="AY10" s="10">
        <f ca="1">Customers!AY$24</f>
        <v>209269.92091726681</v>
      </c>
      <c r="AZ10" s="10">
        <f ca="1">Customers!AZ$24</f>
        <v>220978.44430074553</v>
      </c>
      <c r="BA10" s="10">
        <f ca="1">Customers!BA$24</f>
        <v>229869.77007396644</v>
      </c>
      <c r="BB10" s="10">
        <f ca="1">Customers!BB$24</f>
        <v>246073.69442139845</v>
      </c>
      <c r="BC10" s="10">
        <f ca="1">Customers!BC$24</f>
        <v>259727.73161027511</v>
      </c>
      <c r="BD10" s="10">
        <f ca="1">Customers!BD$24</f>
        <v>275977.57293167815</v>
      </c>
      <c r="BE10" s="10">
        <f ca="1">Customers!BE$24</f>
        <v>289977.57293167821</v>
      </c>
      <c r="BF10" s="10">
        <f ca="1">Customers!BF$24</f>
        <v>306891.26455528376</v>
      </c>
      <c r="BG10" s="10">
        <f ca="1">Customers!BG$24</f>
        <v>326891.90492244309</v>
      </c>
      <c r="BH10" s="10">
        <f ca="1">Customers!BH$24</f>
        <v>345163.0535575765</v>
      </c>
      <c r="BI10" s="10">
        <f ca="1">Customers!BI$24</f>
        <v>366899.18500242539</v>
      </c>
      <c r="BJ10" s="10">
        <f ca="1">Customers!BJ$24</f>
        <v>387306.33785675722</v>
      </c>
      <c r="BK10" s="10">
        <f ca="1">Customers!BK$24</f>
        <v>411602.80241303897</v>
      </c>
      <c r="BL10" s="10">
        <f ca="1">Customers!BL$24</f>
        <v>435019.84917999641</v>
      </c>
      <c r="BM10" s="10">
        <f ca="1">Customers!BM$24</f>
        <v>462802.5007264383</v>
      </c>
      <c r="BN10" s="10">
        <f ca="1">Customers!BN$24</f>
        <v>490210.34942130244</v>
      </c>
      <c r="BO10" s="10">
        <f ca="1">Customers!BO$24</f>
        <v>517518.42379905586</v>
      </c>
      <c r="BP10" s="10">
        <f ca="1">Customers!BP$24</f>
        <v>550018.10644186195</v>
      </c>
      <c r="BQ10" s="10">
        <f ca="1">Customers!BQ$24</f>
        <v>583018.10644186207</v>
      </c>
    </row>
    <row r="11" spans="1:6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Inventory!J$33</f>
        <v>0</v>
      </c>
      <c r="K11" s="10">
        <f xml:space="preserve"> Inventory!K$33</f>
        <v>0</v>
      </c>
      <c r="L11" s="10">
        <f xml:space="preserve"> Inventory!L$33</f>
        <v>10000</v>
      </c>
      <c r="M11" s="10">
        <f xml:space="preserve"> Inventory!M$33</f>
        <v>10000</v>
      </c>
      <c r="N11" s="10">
        <f xml:space="preserve"> Inventory!N$33</f>
        <v>10000</v>
      </c>
      <c r="O11" s="10">
        <f xml:space="preserve"> Inventory!O$33</f>
        <v>0</v>
      </c>
      <c r="P11" s="10">
        <f xml:space="preserve"> Inventory!P$33</f>
        <v>10000</v>
      </c>
      <c r="Q11" s="10">
        <f xml:space="preserve"> Inventory!Q$33</f>
        <v>0</v>
      </c>
      <c r="R11" s="10">
        <f xml:space="preserve"> Inventory!R$33</f>
        <v>10000</v>
      </c>
      <c r="S11" s="10">
        <f xml:space="preserve"> Inventory!S$33</f>
        <v>0</v>
      </c>
      <c r="T11" s="10">
        <f xml:space="preserve"> Inventory!T$33</f>
        <v>0</v>
      </c>
      <c r="U11" s="10">
        <f xml:space="preserve"> Inventory!U$33</f>
        <v>0</v>
      </c>
      <c r="V11" s="10">
        <f ca="1" xml:space="preserve"> Inventory!V$33</f>
        <v>0</v>
      </c>
      <c r="W11" s="10">
        <f ca="1" xml:space="preserve"> Inventory!W$33</f>
        <v>0</v>
      </c>
      <c r="X11" s="10">
        <f ca="1" xml:space="preserve"> Inventory!X$33</f>
        <v>0</v>
      </c>
      <c r="Y11" s="10">
        <f ca="1" xml:space="preserve"> Inventory!Y$33</f>
        <v>5000</v>
      </c>
      <c r="Z11" s="10">
        <f ca="1" xml:space="preserve"> Inventory!Z$33</f>
        <v>5000</v>
      </c>
      <c r="AA11" s="10">
        <f ca="1" xml:space="preserve"> Inventory!AA$33</f>
        <v>5000</v>
      </c>
      <c r="AB11" s="10">
        <f ca="1" xml:space="preserve"> Inventory!AB$33</f>
        <v>10000</v>
      </c>
      <c r="AC11" s="10">
        <f ca="1" xml:space="preserve"> Inventory!AC$33</f>
        <v>10000</v>
      </c>
      <c r="AD11" s="10">
        <f ca="1" xml:space="preserve"> Inventory!AD$33</f>
        <v>5000</v>
      </c>
      <c r="AE11" s="10">
        <f ca="1" xml:space="preserve"> Inventory!AE$33</f>
        <v>10000</v>
      </c>
      <c r="AF11" s="10">
        <f ca="1" xml:space="preserve"> Inventory!AF$33</f>
        <v>10000</v>
      </c>
      <c r="AG11" s="10">
        <f ca="1" xml:space="preserve"> Inventory!AG$33</f>
        <v>10000</v>
      </c>
      <c r="AH11" s="10">
        <f ca="1" xml:space="preserve"> Inventory!AH$33</f>
        <v>10000</v>
      </c>
      <c r="AI11" s="10">
        <f ca="1" xml:space="preserve"> Inventory!AI$33</f>
        <v>15000</v>
      </c>
      <c r="AJ11" s="10">
        <f ca="1" xml:space="preserve"> Inventory!AJ$33</f>
        <v>10000</v>
      </c>
      <c r="AK11" s="10">
        <f ca="1" xml:space="preserve"> Inventory!AK$33</f>
        <v>15000</v>
      </c>
      <c r="AL11" s="10">
        <f ca="1" xml:space="preserve"> Inventory!AL$33</f>
        <v>15000</v>
      </c>
      <c r="AM11" s="10">
        <f ca="1" xml:space="preserve"> Inventory!AM$33</f>
        <v>15000</v>
      </c>
      <c r="AN11" s="10">
        <f ca="1" xml:space="preserve"> Inventory!AN$33</f>
        <v>20000</v>
      </c>
      <c r="AO11" s="10">
        <f ca="1" xml:space="preserve"> Inventory!AO$33</f>
        <v>20000</v>
      </c>
      <c r="AP11" s="10">
        <f ca="1" xml:space="preserve"> Inventory!AP$33</f>
        <v>20000</v>
      </c>
      <c r="AQ11" s="10">
        <f ca="1" xml:space="preserve"> Inventory!AQ$33</f>
        <v>25000</v>
      </c>
      <c r="AR11" s="10">
        <f ca="1" xml:space="preserve"> Inventory!AR$33</f>
        <v>20000</v>
      </c>
      <c r="AS11" s="10">
        <f ca="1" xml:space="preserve"> Inventory!AS$33</f>
        <v>25000</v>
      </c>
      <c r="AT11" s="10">
        <f ca="1" xml:space="preserve"> Inventory!AT$33</f>
        <v>30000</v>
      </c>
      <c r="AU11" s="10">
        <f ca="1" xml:space="preserve"> Inventory!AU$33</f>
        <v>25000</v>
      </c>
      <c r="AV11" s="10">
        <f ca="1" xml:space="preserve"> Inventory!AV$33</f>
        <v>30000</v>
      </c>
      <c r="AW11" s="10">
        <f ca="1" xml:space="preserve"> Inventory!AW$33</f>
        <v>30000</v>
      </c>
      <c r="AX11" s="10">
        <f ca="1" xml:space="preserve"> Inventory!AX$33</f>
        <v>35000</v>
      </c>
      <c r="AY11" s="10">
        <f ca="1" xml:space="preserve"> Inventory!AY$33</f>
        <v>35000</v>
      </c>
      <c r="AZ11" s="10">
        <f ca="1" xml:space="preserve"> Inventory!AZ$33</f>
        <v>35000</v>
      </c>
      <c r="BA11" s="10">
        <f ca="1" xml:space="preserve"> Inventory!BA$33</f>
        <v>40000</v>
      </c>
      <c r="BB11" s="10">
        <f ca="1" xml:space="preserve"> Inventory!BB$33</f>
        <v>40000</v>
      </c>
      <c r="BC11" s="10">
        <f ca="1" xml:space="preserve"> Inventory!BC$33</f>
        <v>45000</v>
      </c>
      <c r="BD11" s="10">
        <f ca="1" xml:space="preserve"> Inventory!BD$33</f>
        <v>45000</v>
      </c>
      <c r="BE11" s="10">
        <f ca="1" xml:space="preserve"> Inventory!BE$33</f>
        <v>50000</v>
      </c>
      <c r="BF11" s="10">
        <f ca="1" xml:space="preserve"> Inventory!BF$33</f>
        <v>50000</v>
      </c>
      <c r="BG11" s="10">
        <f ca="1" xml:space="preserve"> Inventory!BG$33</f>
        <v>55000</v>
      </c>
      <c r="BH11" s="10">
        <f ca="1" xml:space="preserve"> Inventory!BH$33</f>
        <v>60000</v>
      </c>
      <c r="BI11" s="10">
        <f ca="1" xml:space="preserve"> Inventory!BI$33</f>
        <v>60000</v>
      </c>
      <c r="BJ11" s="10">
        <f ca="1" xml:space="preserve"> Inventory!BJ$33</f>
        <v>65000</v>
      </c>
      <c r="BK11" s="10">
        <f ca="1" xml:space="preserve"> Inventory!BK$33</f>
        <v>70000</v>
      </c>
      <c r="BL11" s="10">
        <f ca="1" xml:space="preserve"> Inventory!BL$33</f>
        <v>75000</v>
      </c>
      <c r="BM11" s="10">
        <f ca="1" xml:space="preserve"> Inventory!BM$33</f>
        <v>75000</v>
      </c>
      <c r="BN11" s="10">
        <f ca="1" xml:space="preserve"> Inventory!BN$33</f>
        <v>85000</v>
      </c>
      <c r="BO11" s="10">
        <f ca="1" xml:space="preserve"> Inventory!BO$33</f>
        <v>85000</v>
      </c>
      <c r="BP11" s="10">
        <f ca="1" xml:space="preserve"> Inventory!BP$33</f>
        <v>95000</v>
      </c>
      <c r="BQ11" s="10">
        <f ca="1" xml:space="preserve"> Inventory!BQ$33</f>
        <v>95000</v>
      </c>
    </row>
    <row r="12" spans="1:6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Inventory!J$50</f>
        <v>5000</v>
      </c>
      <c r="K12" s="10">
        <f ca="1">Inventory!K$50</f>
        <v>0</v>
      </c>
      <c r="L12" s="10">
        <f ca="1">Inventory!L$50</f>
        <v>10000</v>
      </c>
      <c r="M12" s="10">
        <f ca="1">Inventory!M$50</f>
        <v>20000</v>
      </c>
      <c r="N12" s="10">
        <f ca="1">Inventory!N$50</f>
        <v>30000</v>
      </c>
      <c r="O12" s="10">
        <f ca="1">Inventory!O$50</f>
        <v>20000</v>
      </c>
      <c r="P12" s="10">
        <f ca="1">Inventory!P$50</f>
        <v>30000</v>
      </c>
      <c r="Q12" s="10">
        <f ca="1">Inventory!Q$50</f>
        <v>30000</v>
      </c>
      <c r="R12" s="10">
        <f ca="1">Inventory!R$50</f>
        <v>40000</v>
      </c>
      <c r="S12" s="10">
        <f ca="1">Inventory!S$50</f>
        <v>30000</v>
      </c>
      <c r="T12" s="10">
        <f ca="1">Inventory!T$50</f>
        <v>30000</v>
      </c>
      <c r="U12" s="10">
        <f ca="1">Inventory!U$50</f>
        <v>20000</v>
      </c>
      <c r="V12" s="10">
        <f ca="1">Inventory!V$50</f>
        <v>10000</v>
      </c>
      <c r="W12" s="10">
        <f ca="1">Inventory!W$50</f>
        <v>10000</v>
      </c>
      <c r="X12" s="10">
        <f ca="1">Inventory!X$50</f>
        <v>0</v>
      </c>
      <c r="Y12" s="10">
        <f ca="1">Inventory!Y$50</f>
        <v>5000</v>
      </c>
      <c r="Z12" s="10">
        <f ca="1">Inventory!Z$50</f>
        <v>10000</v>
      </c>
      <c r="AA12" s="10">
        <f ca="1">Inventory!AA$50</f>
        <v>15000</v>
      </c>
      <c r="AB12" s="10">
        <f ca="1">Inventory!AB$50</f>
        <v>25000</v>
      </c>
      <c r="AC12" s="10">
        <f ca="1">Inventory!AC$50</f>
        <v>35000</v>
      </c>
      <c r="AD12" s="10">
        <f ca="1">Inventory!AD$50</f>
        <v>40000</v>
      </c>
      <c r="AE12" s="10">
        <f ca="1">Inventory!AE$50</f>
        <v>45000</v>
      </c>
      <c r="AF12" s="10">
        <f ca="1">Inventory!AF$50</f>
        <v>50000</v>
      </c>
      <c r="AG12" s="10">
        <f ca="1">Inventory!AG$50</f>
        <v>55000</v>
      </c>
      <c r="AH12" s="10">
        <f ca="1">Inventory!AH$50</f>
        <v>55000</v>
      </c>
      <c r="AI12" s="10">
        <f ca="1">Inventory!AI$50</f>
        <v>60000</v>
      </c>
      <c r="AJ12" s="10">
        <f ca="1">Inventory!AJ$50</f>
        <v>65000</v>
      </c>
      <c r="AK12" s="10">
        <f ca="1">Inventory!AK$50</f>
        <v>70000</v>
      </c>
      <c r="AL12" s="10">
        <f ca="1">Inventory!AL$50</f>
        <v>75000</v>
      </c>
      <c r="AM12" s="10">
        <f ca="1">Inventory!AM$50</f>
        <v>80000</v>
      </c>
      <c r="AN12" s="10">
        <f ca="1">Inventory!AN$50</f>
        <v>90000</v>
      </c>
      <c r="AO12" s="10">
        <f ca="1">Inventory!AO$50</f>
        <v>95000</v>
      </c>
      <c r="AP12" s="10">
        <f ca="1">Inventory!AP$50</f>
        <v>105000</v>
      </c>
      <c r="AQ12" s="10">
        <f ca="1">Inventory!AQ$50</f>
        <v>115000</v>
      </c>
      <c r="AR12" s="10">
        <f ca="1">Inventory!AR$50</f>
        <v>120000</v>
      </c>
      <c r="AS12" s="10">
        <f ca="1">Inventory!AS$50</f>
        <v>130000</v>
      </c>
      <c r="AT12" s="10">
        <f ca="1">Inventory!AT$50</f>
        <v>140000</v>
      </c>
      <c r="AU12" s="10">
        <f ca="1">Inventory!AU$50</f>
        <v>145000</v>
      </c>
      <c r="AV12" s="10">
        <f ca="1">Inventory!AV$50</f>
        <v>155000</v>
      </c>
      <c r="AW12" s="10">
        <f ca="1">Inventory!AW$50</f>
        <v>160000</v>
      </c>
      <c r="AX12" s="10">
        <f ca="1">Inventory!AX$50</f>
        <v>175000</v>
      </c>
      <c r="AY12" s="10">
        <f ca="1">Inventory!AY$50</f>
        <v>185000</v>
      </c>
      <c r="AZ12" s="10">
        <f ca="1">Inventory!AZ$50</f>
        <v>190000</v>
      </c>
      <c r="BA12" s="10">
        <f ca="1">Inventory!BA$50</f>
        <v>205000</v>
      </c>
      <c r="BB12" s="10">
        <f ca="1">Inventory!BB$50</f>
        <v>215000</v>
      </c>
      <c r="BC12" s="10">
        <f ca="1">Inventory!BC$50</f>
        <v>230000</v>
      </c>
      <c r="BD12" s="10">
        <f ca="1">Inventory!BD$50</f>
        <v>240000</v>
      </c>
      <c r="BE12" s="10">
        <f ca="1">Inventory!BE$50</f>
        <v>255000</v>
      </c>
      <c r="BF12" s="10">
        <f ca="1">Inventory!BF$50</f>
        <v>270000</v>
      </c>
      <c r="BG12" s="10">
        <f ca="1">Inventory!BG$50</f>
        <v>285000</v>
      </c>
      <c r="BH12" s="10">
        <f ca="1">Inventory!BH$50</f>
        <v>305000</v>
      </c>
      <c r="BI12" s="10">
        <f ca="1">Inventory!BI$50</f>
        <v>320000</v>
      </c>
      <c r="BJ12" s="10">
        <f ca="1">Inventory!BJ$50</f>
        <v>340000</v>
      </c>
      <c r="BK12" s="10">
        <f ca="1">Inventory!BK$50</f>
        <v>360000</v>
      </c>
      <c r="BL12" s="10">
        <f ca="1">Inventory!BL$50</f>
        <v>385000</v>
      </c>
      <c r="BM12" s="10">
        <f ca="1">Inventory!BM$50</f>
        <v>405000</v>
      </c>
      <c r="BN12" s="10">
        <f ca="1">Inventory!BN$50</f>
        <v>430000</v>
      </c>
      <c r="BO12" s="10">
        <f ca="1">Inventory!BO$50</f>
        <v>455000</v>
      </c>
      <c r="BP12" s="10">
        <f ca="1">Inventory!BP$50</f>
        <v>485000</v>
      </c>
      <c r="BQ12" s="10">
        <f ca="1">Inventory!BQ$50</f>
        <v>510000</v>
      </c>
    </row>
    <row r="13" spans="1:6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Inventory!J$41</f>
        <v>0</v>
      </c>
      <c r="K13" s="10">
        <f ca="1" xml:space="preserve"> Inventory!K$41</f>
        <v>5000</v>
      </c>
      <c r="L13" s="10">
        <f ca="1" xml:space="preserve"> Inventory!L$41</f>
        <v>0</v>
      </c>
      <c r="M13" s="10">
        <f ca="1" xml:space="preserve"> Inventory!M$41</f>
        <v>0</v>
      </c>
      <c r="N13" s="10">
        <f ca="1" xml:space="preserve"> Inventory!N$41</f>
        <v>0</v>
      </c>
      <c r="O13" s="10">
        <f ca="1" xml:space="preserve"> Inventory!O$41</f>
        <v>10000</v>
      </c>
      <c r="P13" s="10">
        <f ca="1" xml:space="preserve"> Inventory!P$41</f>
        <v>0</v>
      </c>
      <c r="Q13" s="10">
        <f ca="1" xml:space="preserve"> Inventory!Q$41</f>
        <v>0</v>
      </c>
      <c r="R13" s="10">
        <f ca="1" xml:space="preserve"> Inventory!R$41</f>
        <v>0</v>
      </c>
      <c r="S13" s="10">
        <f ca="1" xml:space="preserve"> Inventory!S$41</f>
        <v>10000</v>
      </c>
      <c r="T13" s="10">
        <f ca="1" xml:space="preserve"> Inventory!T$41</f>
        <v>0</v>
      </c>
      <c r="U13" s="10">
        <f ca="1" xml:space="preserve"> Inventory!U$41</f>
        <v>10000</v>
      </c>
      <c r="V13" s="10">
        <f ca="1" xml:space="preserve"> Inventory!V$41</f>
        <v>10000</v>
      </c>
      <c r="W13" s="10">
        <f ca="1" xml:space="preserve"> Inventory!W$41</f>
        <v>0</v>
      </c>
      <c r="X13" s="10">
        <f ca="1" xml:space="preserve"> Inventory!X$41</f>
        <v>10000</v>
      </c>
      <c r="Y13" s="10">
        <f ca="1" xml:space="preserve"> Inventory!Y$41</f>
        <v>0</v>
      </c>
      <c r="Z13" s="10">
        <f ca="1" xml:space="preserve"> Inventory!Z$41</f>
        <v>0</v>
      </c>
      <c r="AA13" s="10">
        <f ca="1" xml:space="preserve"> Inventory!AA$41</f>
        <v>0</v>
      </c>
      <c r="AB13" s="10">
        <f ca="1" xml:space="preserve"> Inventory!AB$41</f>
        <v>0</v>
      </c>
      <c r="AC13" s="10">
        <f ca="1" xml:space="preserve"> Inventory!AC$41</f>
        <v>0</v>
      </c>
      <c r="AD13" s="10">
        <f ca="1" xml:space="preserve"> Inventory!AD$41</f>
        <v>0</v>
      </c>
      <c r="AE13" s="10">
        <f ca="1" xml:space="preserve"> Inventory!AE$41</f>
        <v>5000</v>
      </c>
      <c r="AF13" s="10">
        <f ca="1" xml:space="preserve"> Inventory!AF$41</f>
        <v>5000</v>
      </c>
      <c r="AG13" s="10">
        <f ca="1" xml:space="preserve"> Inventory!AG$41</f>
        <v>5000</v>
      </c>
      <c r="AH13" s="10">
        <f ca="1" xml:space="preserve"> Inventory!AH$41</f>
        <v>10000</v>
      </c>
      <c r="AI13" s="10">
        <f ca="1" xml:space="preserve"> Inventory!AI$41</f>
        <v>10000</v>
      </c>
      <c r="AJ13" s="10">
        <f ca="1" xml:space="preserve"> Inventory!AJ$41</f>
        <v>5000</v>
      </c>
      <c r="AK13" s="10">
        <f ca="1" xml:space="preserve"> Inventory!AK$41</f>
        <v>10000</v>
      </c>
      <c r="AL13" s="10">
        <f ca="1" xml:space="preserve"> Inventory!AL$41</f>
        <v>10000</v>
      </c>
      <c r="AM13" s="10">
        <f ca="1" xml:space="preserve"> Inventory!AM$41</f>
        <v>10000</v>
      </c>
      <c r="AN13" s="10">
        <f ca="1" xml:space="preserve"> Inventory!AN$41</f>
        <v>10000</v>
      </c>
      <c r="AO13" s="10">
        <f ca="1" xml:space="preserve"> Inventory!AO$41</f>
        <v>15000</v>
      </c>
      <c r="AP13" s="10">
        <f ca="1" xml:space="preserve"> Inventory!AP$41</f>
        <v>10000</v>
      </c>
      <c r="AQ13" s="10">
        <f ca="1" xml:space="preserve"> Inventory!AQ$41</f>
        <v>15000</v>
      </c>
      <c r="AR13" s="10">
        <f ca="1" xml:space="preserve"> Inventory!AR$41</f>
        <v>15000</v>
      </c>
      <c r="AS13" s="10">
        <f ca="1" xml:space="preserve"> Inventory!AS$41</f>
        <v>15000</v>
      </c>
      <c r="AT13" s="10">
        <f ca="1" xml:space="preserve"> Inventory!AT$41</f>
        <v>20000</v>
      </c>
      <c r="AU13" s="10">
        <f ca="1" xml:space="preserve"> Inventory!AU$41</f>
        <v>20000</v>
      </c>
      <c r="AV13" s="10">
        <f ca="1" xml:space="preserve"> Inventory!AV$41</f>
        <v>20000</v>
      </c>
      <c r="AW13" s="10">
        <f ca="1" xml:space="preserve"> Inventory!AW$41</f>
        <v>25000</v>
      </c>
      <c r="AX13" s="10">
        <f ca="1" xml:space="preserve"> Inventory!AX$41</f>
        <v>20000</v>
      </c>
      <c r="AY13" s="10">
        <f ca="1" xml:space="preserve"> Inventory!AY$41</f>
        <v>25000</v>
      </c>
      <c r="AZ13" s="10">
        <f ca="1" xml:space="preserve"> Inventory!AZ$41</f>
        <v>30000</v>
      </c>
      <c r="BA13" s="10">
        <f ca="1" xml:space="preserve"> Inventory!BA$41</f>
        <v>25000</v>
      </c>
      <c r="BB13" s="10">
        <f ca="1" xml:space="preserve"> Inventory!BB$41</f>
        <v>30000</v>
      </c>
      <c r="BC13" s="10">
        <f ca="1" xml:space="preserve"> Inventory!BC$41</f>
        <v>30000</v>
      </c>
      <c r="BD13" s="10">
        <f ca="1" xml:space="preserve"> Inventory!BD$41</f>
        <v>35000</v>
      </c>
      <c r="BE13" s="10">
        <f ca="1" xml:space="preserve"> Inventory!BE$41</f>
        <v>35000</v>
      </c>
      <c r="BF13" s="10">
        <f ca="1" xml:space="preserve"> Inventory!BF$41</f>
        <v>35000</v>
      </c>
      <c r="BG13" s="10">
        <f ca="1" xml:space="preserve"> Inventory!BG$41</f>
        <v>40000</v>
      </c>
      <c r="BH13" s="10">
        <f ca="1" xml:space="preserve"> Inventory!BH$41</f>
        <v>40000</v>
      </c>
      <c r="BI13" s="10">
        <f ca="1" xml:space="preserve"> Inventory!BI$41</f>
        <v>45000</v>
      </c>
      <c r="BJ13" s="10">
        <f ca="1" xml:space="preserve"> Inventory!BJ$41</f>
        <v>45000</v>
      </c>
      <c r="BK13" s="10">
        <f ca="1" xml:space="preserve"> Inventory!BK$41</f>
        <v>50000</v>
      </c>
      <c r="BL13" s="10">
        <f ca="1" xml:space="preserve"> Inventory!BL$41</f>
        <v>50000</v>
      </c>
      <c r="BM13" s="10">
        <f ca="1" xml:space="preserve"> Inventory!BM$41</f>
        <v>55000</v>
      </c>
      <c r="BN13" s="10">
        <f ca="1" xml:space="preserve"> Inventory!BN$41</f>
        <v>60000</v>
      </c>
      <c r="BO13" s="10">
        <f ca="1" xml:space="preserve"> Inventory!BO$41</f>
        <v>60000</v>
      </c>
      <c r="BP13" s="10">
        <f ca="1" xml:space="preserve"> Inventory!BP$41</f>
        <v>65000</v>
      </c>
      <c r="BQ13" s="10">
        <f ca="1" xml:space="preserve"> Inventory!BQ$41</f>
        <v>70000</v>
      </c>
    </row>
    <row r="14" spans="1:6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Inventory!J$18</f>
        <v>0</v>
      </c>
      <c r="K14" s="10">
        <f ca="1" xml:space="preserve"> Inventory!K$18</f>
        <v>0</v>
      </c>
      <c r="L14" s="10">
        <f ca="1" xml:space="preserve"> Inventory!L$18</f>
        <v>0</v>
      </c>
      <c r="M14" s="10">
        <f ca="1" xml:space="preserve"> Inventory!M$18</f>
        <v>0</v>
      </c>
      <c r="N14" s="10">
        <f ca="1" xml:space="preserve"> Inventory!N$18</f>
        <v>0</v>
      </c>
      <c r="O14" s="10">
        <f ca="1" xml:space="preserve"> Inventory!O$18</f>
        <v>0</v>
      </c>
      <c r="P14" s="10">
        <f ca="1" xml:space="preserve"> Inventory!P$18</f>
        <v>0</v>
      </c>
      <c r="Q14" s="10">
        <f ca="1" xml:space="preserve"> Inventory!Q$18</f>
        <v>0</v>
      </c>
      <c r="R14" s="10">
        <f ca="1" xml:space="preserve"> Inventory!R$18</f>
        <v>0</v>
      </c>
      <c r="S14" s="10">
        <f ca="1" xml:space="preserve"> Inventory!S$18</f>
        <v>0</v>
      </c>
      <c r="T14" s="10">
        <f ca="1" xml:space="preserve"> Inventory!T$18</f>
        <v>0</v>
      </c>
      <c r="U14" s="10">
        <f ca="1" xml:space="preserve"> Inventory!U$18</f>
        <v>0</v>
      </c>
      <c r="V14" s="10">
        <f ca="1" xml:space="preserve"> Inventory!V$18</f>
        <v>0</v>
      </c>
      <c r="W14" s="10">
        <f ca="1" xml:space="preserve"> Inventory!W$18</f>
        <v>0</v>
      </c>
      <c r="X14" s="10">
        <f ca="1" xml:space="preserve"> Inventory!X$18</f>
        <v>0</v>
      </c>
      <c r="Y14" s="10">
        <f ca="1" xml:space="preserve"> Inventory!Y$18</f>
        <v>0</v>
      </c>
      <c r="Z14" s="10">
        <f ca="1" xml:space="preserve"> Inventory!Z$18</f>
        <v>0</v>
      </c>
      <c r="AA14" s="10">
        <f ca="1" xml:space="preserve"> Inventory!AA$18</f>
        <v>0</v>
      </c>
      <c r="AB14" s="10">
        <f ca="1" xml:space="preserve"> Inventory!AB$18</f>
        <v>0</v>
      </c>
      <c r="AC14" s="10">
        <f ca="1" xml:space="preserve"> Inventory!AC$18</f>
        <v>0</v>
      </c>
      <c r="AD14" s="10">
        <f ca="1" xml:space="preserve"> Inventory!AD$18</f>
        <v>0</v>
      </c>
      <c r="AE14" s="10">
        <f ca="1" xml:space="preserve"> Inventory!AE$18</f>
        <v>0</v>
      </c>
      <c r="AF14" s="10">
        <f ca="1" xml:space="preserve"> Inventory!AF$18</f>
        <v>0</v>
      </c>
      <c r="AG14" s="10">
        <f ca="1" xml:space="preserve"> Inventory!AG$18</f>
        <v>0</v>
      </c>
      <c r="AH14" s="10">
        <f ca="1" xml:space="preserve"> Inventory!AH$18</f>
        <v>1000</v>
      </c>
      <c r="AI14" s="10">
        <f ca="1" xml:space="preserve"> Inventory!AI$18</f>
        <v>1000</v>
      </c>
      <c r="AJ14" s="10">
        <f ca="1" xml:space="preserve"> Inventory!AJ$18</f>
        <v>1000</v>
      </c>
      <c r="AK14" s="10">
        <f ca="1" xml:space="preserve"> Inventory!AK$18</f>
        <v>1000</v>
      </c>
      <c r="AL14" s="10">
        <f ca="1" xml:space="preserve"> Inventory!AL$18</f>
        <v>3000</v>
      </c>
      <c r="AM14" s="10">
        <f ca="1" xml:space="preserve"> Inventory!AM$18</f>
        <v>3000</v>
      </c>
      <c r="AN14" s="10">
        <f ca="1" xml:space="preserve"> Inventory!AN$18</f>
        <v>3000</v>
      </c>
      <c r="AO14" s="10">
        <f ca="1" xml:space="preserve"> Inventory!AO$18</f>
        <v>5000</v>
      </c>
      <c r="AP14" s="10">
        <f ca="1" xml:space="preserve"> Inventory!AP$18</f>
        <v>5000</v>
      </c>
      <c r="AQ14" s="10">
        <f ca="1" xml:space="preserve"> Inventory!AQ$18</f>
        <v>5000</v>
      </c>
      <c r="AR14" s="10">
        <f ca="1" xml:space="preserve"> Inventory!AR$18</f>
        <v>5000</v>
      </c>
      <c r="AS14" s="10">
        <f ca="1" xml:space="preserve"> Inventory!AS$18</f>
        <v>5000</v>
      </c>
      <c r="AT14" s="10">
        <f ca="1" xml:space="preserve"> Inventory!AT$18</f>
        <v>5297.3154717964762</v>
      </c>
      <c r="AU14" s="10">
        <f ca="1" xml:space="preserve"> Inventory!AU$18</f>
        <v>5612.3102415468647</v>
      </c>
      <c r="AV14" s="10">
        <f ca="1" xml:space="preserve"> Inventory!AV$18</f>
        <v>5946.035575013605</v>
      </c>
      <c r="AW14" s="10">
        <f ca="1" xml:space="preserve"> Inventory!AW$18</f>
        <v>6299.6052494743653</v>
      </c>
      <c r="AX14" s="10">
        <f ca="1" xml:space="preserve"> Inventory!AX$18</f>
        <v>6674.1992708501712</v>
      </c>
      <c r="AY14" s="10">
        <f ca="1" xml:space="preserve"> Inventory!AY$18</f>
        <v>7071.0678118654751</v>
      </c>
      <c r="AZ14" s="10">
        <f ca="1" xml:space="preserve"> Inventory!AZ$18</f>
        <v>7491.5353843834073</v>
      </c>
      <c r="BA14" s="10">
        <f ca="1" xml:space="preserve"> Inventory!BA$18</f>
        <v>7937.0052598409975</v>
      </c>
      <c r="BB14" s="10">
        <f ca="1" xml:space="preserve"> Inventory!BB$18</f>
        <v>8408.9641525371462</v>
      </c>
      <c r="BC14" s="10">
        <f ca="1" xml:space="preserve"> Inventory!BC$18</f>
        <v>8908.9871814033941</v>
      </c>
      <c r="BD14" s="10">
        <f ca="1" xml:space="preserve"> Inventory!BD$18</f>
        <v>9438.7431268169366</v>
      </c>
      <c r="BE14" s="10">
        <f ca="1" xml:space="preserve"> Inventory!BE$18</f>
        <v>10000.000000000002</v>
      </c>
      <c r="BF14" s="10">
        <f ca="1" xml:space="preserve"> Inventory!BF$18</f>
        <v>11494.630943592954</v>
      </c>
      <c r="BG14" s="10">
        <f ca="1" xml:space="preserve"> Inventory!BG$18</f>
        <v>12124.620483093731</v>
      </c>
      <c r="BH14" s="10">
        <f ca="1" xml:space="preserve"> Inventory!BH$18</f>
        <v>12792.071150027214</v>
      </c>
      <c r="BI14" s="10">
        <f ca="1" xml:space="preserve"> Inventory!BI$18</f>
        <v>13499.210498948736</v>
      </c>
      <c r="BJ14" s="10">
        <f ca="1" xml:space="preserve"> Inventory!BJ$18</f>
        <v>16048.39854170035</v>
      </c>
      <c r="BK14" s="10">
        <f ca="1" xml:space="preserve"> Inventory!BK$18</f>
        <v>16842.135623730959</v>
      </c>
      <c r="BL14" s="10">
        <f ca="1" xml:space="preserve"> Inventory!BL$18</f>
        <v>17683.070768766825</v>
      </c>
      <c r="BM14" s="10">
        <f ca="1" xml:space="preserve"> Inventory!BM$18</f>
        <v>20374.010519682004</v>
      </c>
      <c r="BN14" s="10">
        <f ca="1" xml:space="preserve"> Inventory!BN$18</f>
        <v>21317.9283050743</v>
      </c>
      <c r="BO14" s="10">
        <f ca="1" xml:space="preserve"> Inventory!BO$18</f>
        <v>22317.974362806795</v>
      </c>
      <c r="BP14" s="10">
        <f ca="1" xml:space="preserve"> Inventory!BP$18</f>
        <v>23377.486253633881</v>
      </c>
      <c r="BQ14" s="10">
        <f ca="1" xml:space="preserve"> Inventory!BQ$18</f>
        <v>24500.000000000011</v>
      </c>
    </row>
    <row r="15" spans="1:6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Inventory!J$65</f>
        <v>1000</v>
      </c>
      <c r="K15" s="10">
        <f ca="1">Inventory!K$65</f>
        <v>5000</v>
      </c>
      <c r="L15" s="10">
        <f ca="1">Inventory!L$65</f>
        <v>4000</v>
      </c>
      <c r="M15" s="10">
        <f ca="1">Inventory!M$65</f>
        <v>3000</v>
      </c>
      <c r="N15" s="10">
        <f ca="1">Inventory!N$65</f>
        <v>2000</v>
      </c>
      <c r="O15" s="10">
        <f ca="1">Inventory!O$65</f>
        <v>10000</v>
      </c>
      <c r="P15" s="10">
        <f ca="1">Inventory!P$65</f>
        <v>6000</v>
      </c>
      <c r="Q15" s="10">
        <f ca="1">Inventory!Q$65</f>
        <v>3000</v>
      </c>
      <c r="R15" s="10">
        <f ca="1">Inventory!R$65</f>
        <v>0</v>
      </c>
      <c r="S15" s="10">
        <f ca="1">Inventory!S$65</f>
        <v>10000</v>
      </c>
      <c r="T15" s="10">
        <f ca="1">Inventory!T$65</f>
        <v>0</v>
      </c>
      <c r="U15" s="10">
        <f ca="1">Inventory!U$65</f>
        <v>10000</v>
      </c>
      <c r="V15" s="10">
        <f ca="1">Inventory!V$65</f>
        <v>10000</v>
      </c>
      <c r="W15" s="10">
        <f ca="1">Inventory!W$65</f>
        <v>2702.6845282035247</v>
      </c>
      <c r="X15" s="10">
        <f ca="1">Inventory!X$65</f>
        <v>10000</v>
      </c>
      <c r="Y15" s="10">
        <f ca="1">Inventory!Y$65</f>
        <v>1144.3387116430567</v>
      </c>
      <c r="Z15" s="10">
        <f ca="1">Inventory!Z$65</f>
        <v>0</v>
      </c>
      <c r="AA15" s="10">
        <f ca="1">Inventory!AA$65</f>
        <v>0</v>
      </c>
      <c r="AB15" s="10">
        <f ca="1">Inventory!AB$65</f>
        <v>0</v>
      </c>
      <c r="AC15" s="10">
        <f ca="1">Inventory!AC$65</f>
        <v>0</v>
      </c>
      <c r="AD15" s="10">
        <f ca="1">Inventory!AD$65</f>
        <v>0</v>
      </c>
      <c r="AE15" s="10">
        <f ca="1">Inventory!AE$65</f>
        <v>5000</v>
      </c>
      <c r="AF15" s="10">
        <f ca="1">Inventory!AF$65</f>
        <v>5000</v>
      </c>
      <c r="AG15" s="10">
        <f ca="1">Inventory!AG$65</f>
        <v>5000</v>
      </c>
      <c r="AH15" s="10">
        <f ca="1">Inventory!AH$65</f>
        <v>10000</v>
      </c>
      <c r="AI15" s="10">
        <f ca="1">Inventory!AI$65</f>
        <v>10000</v>
      </c>
      <c r="AJ15" s="10">
        <f ca="1">Inventory!AJ$65</f>
        <v>5000</v>
      </c>
      <c r="AK15" s="10">
        <f ca="1">Inventory!AK$65</f>
        <v>10000</v>
      </c>
      <c r="AL15" s="10">
        <f ca="1">Inventory!AL$65</f>
        <v>10000</v>
      </c>
      <c r="AM15" s="10">
        <f ca="1">Inventory!AM$65</f>
        <v>10000</v>
      </c>
      <c r="AN15" s="10">
        <f ca="1">Inventory!AN$65</f>
        <v>10000</v>
      </c>
      <c r="AO15" s="10">
        <f ca="1">Inventory!AO$65</f>
        <v>15000</v>
      </c>
      <c r="AP15" s="10">
        <f ca="1">Inventory!AP$65</f>
        <v>10000</v>
      </c>
      <c r="AQ15" s="10">
        <f ca="1">Inventory!AQ$65</f>
        <v>15000</v>
      </c>
      <c r="AR15" s="10">
        <f ca="1">Inventory!AR$65</f>
        <v>15000</v>
      </c>
      <c r="AS15" s="10">
        <f ca="1">Inventory!AS$65</f>
        <v>15000</v>
      </c>
      <c r="AT15" s="10">
        <f ca="1">Inventory!AT$65</f>
        <v>20000</v>
      </c>
      <c r="AU15" s="10">
        <f ca="1">Inventory!AU$65</f>
        <v>20000</v>
      </c>
      <c r="AV15" s="10">
        <f ca="1">Inventory!AV$65</f>
        <v>20000</v>
      </c>
      <c r="AW15" s="10">
        <f ca="1">Inventory!AW$65</f>
        <v>25000</v>
      </c>
      <c r="AX15" s="10">
        <f ca="1">Inventory!AX$65</f>
        <v>20000</v>
      </c>
      <c r="AY15" s="10">
        <f ca="1">Inventory!AY$65</f>
        <v>25000</v>
      </c>
      <c r="AZ15" s="10">
        <f ca="1">Inventory!AZ$65</f>
        <v>30000</v>
      </c>
      <c r="BA15" s="10">
        <f ca="1">Inventory!BA$65</f>
        <v>25000</v>
      </c>
      <c r="BB15" s="10">
        <f ca="1">Inventory!BB$65</f>
        <v>30000</v>
      </c>
      <c r="BC15" s="10">
        <f ca="1">Inventory!BC$65</f>
        <v>30000.000000000004</v>
      </c>
      <c r="BD15" s="10">
        <f ca="1">Inventory!BD$65</f>
        <v>35000</v>
      </c>
      <c r="BE15" s="10">
        <f ca="1">Inventory!BE$65</f>
        <v>35000</v>
      </c>
      <c r="BF15" s="10">
        <f ca="1">Inventory!BF$65</f>
        <v>35000</v>
      </c>
      <c r="BG15" s="10">
        <f ca="1">Inventory!BG$65</f>
        <v>40000</v>
      </c>
      <c r="BH15" s="10">
        <f ca="1">Inventory!BH$65</f>
        <v>40000</v>
      </c>
      <c r="BI15" s="10">
        <f ca="1">Inventory!BI$65</f>
        <v>45000</v>
      </c>
      <c r="BJ15" s="10">
        <f ca="1">Inventory!BJ$65</f>
        <v>45000</v>
      </c>
      <c r="BK15" s="10">
        <f ca="1">Inventory!BK$65</f>
        <v>49999.999999999993</v>
      </c>
      <c r="BL15" s="10">
        <f ca="1">Inventory!BL$65</f>
        <v>50000.000000000007</v>
      </c>
      <c r="BM15" s="10">
        <f ca="1">Inventory!BM$65</f>
        <v>54999.999999999985</v>
      </c>
      <c r="BN15" s="10">
        <f ca="1">Inventory!BN$65</f>
        <v>60000</v>
      </c>
      <c r="BO15" s="10">
        <f ca="1">Inventory!BO$65</f>
        <v>60000</v>
      </c>
      <c r="BP15" s="10">
        <f ca="1">Inventory!BP$65</f>
        <v>65000</v>
      </c>
      <c r="BQ15" s="10">
        <f ca="1">Inventory!BQ$65</f>
        <v>70000</v>
      </c>
    </row>
    <row r="16" spans="1:6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xml:space="preserve"> Inventory!J$54</f>
        <v>0</v>
      </c>
      <c r="K16" s="10">
        <f ca="1" xml:space="preserve"> Inventory!K$54</f>
        <v>1000</v>
      </c>
      <c r="L16" s="10">
        <f ca="1" xml:space="preserve"> Inventory!L$54</f>
        <v>1000</v>
      </c>
      <c r="M16" s="10">
        <f ca="1" xml:space="preserve"> Inventory!M$54</f>
        <v>1000</v>
      </c>
      <c r="N16" s="10">
        <f ca="1" xml:space="preserve"> Inventory!N$54</f>
        <v>1000</v>
      </c>
      <c r="O16" s="10">
        <f ca="1" xml:space="preserve"> Inventory!O$54</f>
        <v>2000</v>
      </c>
      <c r="P16" s="10">
        <f ca="1" xml:space="preserve"> Inventory!P$54</f>
        <v>4000</v>
      </c>
      <c r="Q16" s="10">
        <f ca="1" xml:space="preserve"> Inventory!Q$54</f>
        <v>3000</v>
      </c>
      <c r="R16" s="10">
        <f ca="1" xml:space="preserve"> Inventory!R$54</f>
        <v>3000</v>
      </c>
      <c r="S16" s="10">
        <f ca="1" xml:space="preserve"> Inventory!S$54</f>
        <v>0</v>
      </c>
      <c r="T16" s="10">
        <f ca="1" xml:space="preserve"> Inventory!T$54</f>
        <v>10000</v>
      </c>
      <c r="U16" s="10">
        <f ca="1" xml:space="preserve"> Inventory!U$54</f>
        <v>0</v>
      </c>
      <c r="V16" s="10">
        <f ca="1" xml:space="preserve"> Inventory!V$54</f>
        <v>10000</v>
      </c>
      <c r="W16" s="10">
        <f ca="1" xml:space="preserve"> Inventory!W$54</f>
        <v>7297.3154717964753</v>
      </c>
      <c r="X16" s="10">
        <f ca="1" xml:space="preserve"> Inventory!X$54</f>
        <v>2702.6845282035247</v>
      </c>
      <c r="Y16" s="10">
        <f ca="1" xml:space="preserve"> Inventory!Y$54</f>
        <v>8855.6612883569433</v>
      </c>
      <c r="Z16" s="10">
        <f ca="1" xml:space="preserve"> Inventory!Z$54</f>
        <v>1144.3387116430567</v>
      </c>
      <c r="AA16" s="10">
        <f ca="1" xml:space="preserve"> Inventory!AA$54</f>
        <v>0</v>
      </c>
      <c r="AB16" s="10">
        <f ca="1" xml:space="preserve"> Inventory!AB$54</f>
        <v>0</v>
      </c>
      <c r="AC16" s="10">
        <f ca="1" xml:space="preserve"> Inventory!AC$54</f>
        <v>0</v>
      </c>
      <c r="AD16" s="10">
        <f ca="1" xml:space="preserve"> Inventory!AD$54</f>
        <v>0</v>
      </c>
      <c r="AE16" s="10">
        <f ca="1" xml:space="preserve"> Inventory!AE$54</f>
        <v>0</v>
      </c>
      <c r="AF16" s="10">
        <f ca="1" xml:space="preserve"> Inventory!AF$54</f>
        <v>5000</v>
      </c>
      <c r="AG16" s="10">
        <f ca="1" xml:space="preserve"> Inventory!AG$54</f>
        <v>5000</v>
      </c>
      <c r="AH16" s="10">
        <f ca="1" xml:space="preserve"> Inventory!AH$54</f>
        <v>5000</v>
      </c>
      <c r="AI16" s="10">
        <f ca="1" xml:space="preserve"> Inventory!AI$54</f>
        <v>10000</v>
      </c>
      <c r="AJ16" s="10">
        <f ca="1" xml:space="preserve"> Inventory!AJ$54</f>
        <v>10000</v>
      </c>
      <c r="AK16" s="10">
        <f ca="1" xml:space="preserve"> Inventory!AK$54</f>
        <v>5000</v>
      </c>
      <c r="AL16" s="10">
        <f ca="1" xml:space="preserve"> Inventory!AL$54</f>
        <v>10000</v>
      </c>
      <c r="AM16" s="10">
        <f ca="1" xml:space="preserve"> Inventory!AM$54</f>
        <v>10000</v>
      </c>
      <c r="AN16" s="10">
        <f ca="1" xml:space="preserve"> Inventory!AN$54</f>
        <v>10000</v>
      </c>
      <c r="AO16" s="10">
        <f ca="1" xml:space="preserve"> Inventory!AO$54</f>
        <v>10000</v>
      </c>
      <c r="AP16" s="10">
        <f ca="1" xml:space="preserve"> Inventory!AP$54</f>
        <v>15000</v>
      </c>
      <c r="AQ16" s="10">
        <f ca="1" xml:space="preserve"> Inventory!AQ$54</f>
        <v>10000</v>
      </c>
      <c r="AR16" s="10">
        <f ca="1" xml:space="preserve"> Inventory!AR$54</f>
        <v>15000</v>
      </c>
      <c r="AS16" s="10">
        <f ca="1" xml:space="preserve"> Inventory!AS$54</f>
        <v>15000</v>
      </c>
      <c r="AT16" s="10">
        <f ca="1" xml:space="preserve"> Inventory!AT$54</f>
        <v>15000</v>
      </c>
      <c r="AU16" s="10">
        <f ca="1" xml:space="preserve"> Inventory!AU$54</f>
        <v>20000</v>
      </c>
      <c r="AV16" s="10">
        <f ca="1" xml:space="preserve"> Inventory!AV$54</f>
        <v>20000</v>
      </c>
      <c r="AW16" s="10">
        <f ca="1" xml:space="preserve"> Inventory!AW$54</f>
        <v>20000</v>
      </c>
      <c r="AX16" s="10">
        <f ca="1" xml:space="preserve"> Inventory!AX$54</f>
        <v>25000</v>
      </c>
      <c r="AY16" s="10">
        <f ca="1" xml:space="preserve"> Inventory!AY$54</f>
        <v>20000</v>
      </c>
      <c r="AZ16" s="10">
        <f ca="1" xml:space="preserve"> Inventory!AZ$54</f>
        <v>25000</v>
      </c>
      <c r="BA16" s="10">
        <f ca="1" xml:space="preserve"> Inventory!BA$54</f>
        <v>30000</v>
      </c>
      <c r="BB16" s="10">
        <f ca="1" xml:space="preserve"> Inventory!BB$54</f>
        <v>25000</v>
      </c>
      <c r="BC16" s="10">
        <f ca="1" xml:space="preserve"> Inventory!BC$54</f>
        <v>30000</v>
      </c>
      <c r="BD16" s="10">
        <f ca="1" xml:space="preserve"> Inventory!BD$54</f>
        <v>30000.000000000004</v>
      </c>
      <c r="BE16" s="10">
        <f ca="1" xml:space="preserve"> Inventory!BE$54</f>
        <v>35000</v>
      </c>
      <c r="BF16" s="10">
        <f ca="1" xml:space="preserve"> Inventory!BF$54</f>
        <v>35000</v>
      </c>
      <c r="BG16" s="10">
        <f ca="1" xml:space="preserve"> Inventory!BG$54</f>
        <v>35000</v>
      </c>
      <c r="BH16" s="10">
        <f ca="1" xml:space="preserve"> Inventory!BH$54</f>
        <v>40000</v>
      </c>
      <c r="BI16" s="10">
        <f ca="1" xml:space="preserve"> Inventory!BI$54</f>
        <v>40000</v>
      </c>
      <c r="BJ16" s="10">
        <f ca="1" xml:space="preserve"> Inventory!BJ$54</f>
        <v>45000</v>
      </c>
      <c r="BK16" s="10">
        <f ca="1" xml:space="preserve"> Inventory!BK$54</f>
        <v>45000</v>
      </c>
      <c r="BL16" s="10">
        <f ca="1" xml:space="preserve"> Inventory!BL$54</f>
        <v>49999.999999999993</v>
      </c>
      <c r="BM16" s="10">
        <f ca="1" xml:space="preserve"> Inventory!BM$54</f>
        <v>50000.000000000007</v>
      </c>
      <c r="BN16" s="10">
        <f ca="1" xml:space="preserve"> Inventory!BN$54</f>
        <v>54999.999999999985</v>
      </c>
      <c r="BO16" s="10">
        <f ca="1" xml:space="preserve"> Inventory!BO$54</f>
        <v>60000</v>
      </c>
      <c r="BP16" s="10">
        <f ca="1" xml:space="preserve"> Inventory!BP$54</f>
        <v>60000</v>
      </c>
      <c r="BQ16" s="10">
        <f ca="1" xml:space="preserve"> Inventory!BQ$54</f>
        <v>65000</v>
      </c>
    </row>
    <row r="17" spans="5:6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Inventory!J$73</f>
        <v>1500</v>
      </c>
      <c r="K17" s="10">
        <f ca="1">Inventory!K$73</f>
        <v>2500</v>
      </c>
      <c r="L17" s="10">
        <f ca="1">Inventory!L$73</f>
        <v>3500</v>
      </c>
      <c r="M17" s="10">
        <f ca="1">Inventory!M$73</f>
        <v>4500</v>
      </c>
      <c r="N17" s="10">
        <f ca="1">Inventory!N$73</f>
        <v>5500</v>
      </c>
      <c r="O17" s="10">
        <f ca="1">Inventory!O$73</f>
        <v>7500</v>
      </c>
      <c r="P17" s="10">
        <f ca="1">Inventory!P$73</f>
        <v>11500</v>
      </c>
      <c r="Q17" s="10">
        <f ca="1">Inventory!Q$73</f>
        <v>14500</v>
      </c>
      <c r="R17" s="10">
        <f ca="1">Inventory!R$73</f>
        <v>17500</v>
      </c>
      <c r="S17" s="10">
        <f ca="1">Inventory!S$73</f>
        <v>17500</v>
      </c>
      <c r="T17" s="10">
        <f ca="1">Inventory!T$73</f>
        <v>27500</v>
      </c>
      <c r="U17" s="10">
        <f ca="1">Inventory!U$73</f>
        <v>27500</v>
      </c>
      <c r="V17" s="10">
        <f ca="1">Inventory!V$73</f>
        <v>37500</v>
      </c>
      <c r="W17" s="10">
        <f ca="1">Inventory!W$73</f>
        <v>44797.315471796479</v>
      </c>
      <c r="X17" s="10">
        <f ca="1">Inventory!X$73</f>
        <v>47500</v>
      </c>
      <c r="Y17" s="10">
        <f ca="1">Inventory!Y$73</f>
        <v>56355.661288356947</v>
      </c>
      <c r="Z17" s="10">
        <f ca="1">Inventory!Z$73</f>
        <v>57500</v>
      </c>
      <c r="AA17" s="10">
        <f ca="1">Inventory!AA$73</f>
        <v>57500</v>
      </c>
      <c r="AB17" s="10">
        <f ca="1">Inventory!AB$73</f>
        <v>57500</v>
      </c>
      <c r="AC17" s="10">
        <f ca="1">Inventory!AC$73</f>
        <v>57500</v>
      </c>
      <c r="AD17" s="10">
        <f ca="1">Inventory!AD$73</f>
        <v>57500</v>
      </c>
      <c r="AE17" s="10">
        <f ca="1">Inventory!AE$73</f>
        <v>57500</v>
      </c>
      <c r="AF17" s="10">
        <f ca="1">Inventory!AF$73</f>
        <v>62500</v>
      </c>
      <c r="AG17" s="10">
        <f ca="1">Inventory!AG$73</f>
        <v>67500</v>
      </c>
      <c r="AH17" s="10">
        <f ca="1">Inventory!AH$73</f>
        <v>71500</v>
      </c>
      <c r="AI17" s="10">
        <f ca="1">Inventory!AI$73</f>
        <v>80500</v>
      </c>
      <c r="AJ17" s="10">
        <f ca="1">Inventory!AJ$73</f>
        <v>89500</v>
      </c>
      <c r="AK17" s="10">
        <f ca="1">Inventory!AK$73</f>
        <v>93500</v>
      </c>
      <c r="AL17" s="10">
        <f ca="1">Inventory!AL$73</f>
        <v>100500</v>
      </c>
      <c r="AM17" s="10">
        <f ca="1">Inventory!AM$73</f>
        <v>107500</v>
      </c>
      <c r="AN17" s="10">
        <f ca="1">Inventory!AN$73</f>
        <v>114500</v>
      </c>
      <c r="AO17" s="10">
        <f ca="1">Inventory!AO$73</f>
        <v>119500</v>
      </c>
      <c r="AP17" s="10">
        <f ca="1">Inventory!AP$73</f>
        <v>129500</v>
      </c>
      <c r="AQ17" s="10">
        <f ca="1">Inventory!AQ$73</f>
        <v>134500</v>
      </c>
      <c r="AR17" s="10">
        <f ca="1">Inventory!AR$73</f>
        <v>144500</v>
      </c>
      <c r="AS17" s="10">
        <f ca="1">Inventory!AS$73</f>
        <v>154500</v>
      </c>
      <c r="AT17" s="10">
        <f ca="1">Inventory!AT$73</f>
        <v>164202.68452820354</v>
      </c>
      <c r="AU17" s="10">
        <f ca="1">Inventory!AU$73</f>
        <v>178590.37428665668</v>
      </c>
      <c r="AV17" s="10">
        <f ca="1">Inventory!AV$73</f>
        <v>192644.33871164307</v>
      </c>
      <c r="AW17" s="10">
        <f ca="1">Inventory!AW$73</f>
        <v>206344.73346216869</v>
      </c>
      <c r="AX17" s="10">
        <f ca="1">Inventory!AX$73</f>
        <v>224670.53419131853</v>
      </c>
      <c r="AY17" s="10">
        <f ca="1">Inventory!AY$73</f>
        <v>237599.46637945305</v>
      </c>
      <c r="AZ17" s="10">
        <f ca="1">Inventory!AZ$73</f>
        <v>255107.93099506968</v>
      </c>
      <c r="BA17" s="10">
        <f ca="1">Inventory!BA$73</f>
        <v>277170.92573522869</v>
      </c>
      <c r="BB17" s="10">
        <f ca="1">Inventory!BB$73</f>
        <v>293761.96158269153</v>
      </c>
      <c r="BC17" s="10">
        <f ca="1">Inventory!BC$73</f>
        <v>314852.97440128814</v>
      </c>
      <c r="BD17" s="10">
        <f ca="1">Inventory!BD$73</f>
        <v>335414.23127447121</v>
      </c>
      <c r="BE17" s="10">
        <f ca="1">Inventory!BE$73</f>
        <v>360414.23127447121</v>
      </c>
      <c r="BF17" s="10">
        <f ca="1">Inventory!BF$73</f>
        <v>383919.60033087828</v>
      </c>
      <c r="BG17" s="10">
        <f ca="1">Inventory!BG$73</f>
        <v>406794.97984778456</v>
      </c>
      <c r="BH17" s="10">
        <f ca="1">Inventory!BH$73</f>
        <v>434002.90869775735</v>
      </c>
      <c r="BI17" s="10">
        <f ca="1">Inventory!BI$73</f>
        <v>460503.69819880859</v>
      </c>
      <c r="BJ17" s="10">
        <f ca="1">Inventory!BJ$73</f>
        <v>489455.29965710826</v>
      </c>
      <c r="BK17" s="10">
        <f ca="1">Inventory!BK$73</f>
        <v>517613.16403337731</v>
      </c>
      <c r="BL17" s="10">
        <f ca="1">Inventory!BL$73</f>
        <v>549930.09326461051</v>
      </c>
      <c r="BM17" s="10">
        <f ca="1">Inventory!BM$73</f>
        <v>579556.08274492854</v>
      </c>
      <c r="BN17" s="10">
        <f ca="1">Inventory!BN$73</f>
        <v>613238.1544398542</v>
      </c>
      <c r="BO17" s="10">
        <f ca="1">Inventory!BO$73</f>
        <v>650920.18007704744</v>
      </c>
      <c r="BP17" s="10">
        <f ca="1">Inventory!BP$73</f>
        <v>687542.69382341357</v>
      </c>
      <c r="BQ17" s="10">
        <f ca="1">Inventory!BQ$73</f>
        <v>728042.69382341357</v>
      </c>
    </row>
    <row r="18" spans="5:6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Inventory!J$77</f>
        <v>0</v>
      </c>
      <c r="K18" s="10">
        <f ca="1" xml:space="preserve"> Inventory!K$77</f>
        <v>0</v>
      </c>
      <c r="L18" s="10">
        <f ca="1" xml:space="preserve"> Inventory!L$77</f>
        <v>0</v>
      </c>
      <c r="M18" s="10">
        <f ca="1" xml:space="preserve"> Inventory!M$77</f>
        <v>0</v>
      </c>
      <c r="N18" s="10">
        <f ca="1" xml:space="preserve"> Inventory!N$77</f>
        <v>0</v>
      </c>
      <c r="O18" s="10">
        <f ca="1" xml:space="preserve"> Inventory!O$77</f>
        <v>0</v>
      </c>
      <c r="P18" s="10">
        <f ca="1" xml:space="preserve"> Inventory!P$77</f>
        <v>0</v>
      </c>
      <c r="Q18" s="10">
        <f ca="1" xml:space="preserve"> Inventory!Q$77</f>
        <v>0</v>
      </c>
      <c r="R18" s="10">
        <f ca="1" xml:space="preserve"> Inventory!R$77</f>
        <v>0</v>
      </c>
      <c r="S18" s="10">
        <f ca="1" xml:space="preserve"> Inventory!S$77</f>
        <v>0</v>
      </c>
      <c r="T18" s="10">
        <f ca="1" xml:space="preserve"> Inventory!T$77</f>
        <v>0</v>
      </c>
      <c r="U18" s="10">
        <f ca="1" xml:space="preserve"> Inventory!U$77</f>
        <v>0</v>
      </c>
      <c r="V18" s="10">
        <f ca="1" xml:space="preserve"> Inventory!V$77</f>
        <v>0</v>
      </c>
      <c r="W18" s="10">
        <f ca="1" xml:space="preserve"> Inventory!W$77</f>
        <v>0</v>
      </c>
      <c r="X18" s="10">
        <f ca="1" xml:space="preserve"> Inventory!X$77</f>
        <v>0</v>
      </c>
      <c r="Y18" s="10">
        <f ca="1" xml:space="preserve"> Inventory!Y$77</f>
        <v>0</v>
      </c>
      <c r="Z18" s="10">
        <f ca="1" xml:space="preserve"> Inventory!Z$77</f>
        <v>0</v>
      </c>
      <c r="AA18" s="10">
        <f ca="1" xml:space="preserve"> Inventory!AA$77</f>
        <v>0</v>
      </c>
      <c r="AB18" s="10">
        <f ca="1" xml:space="preserve"> Inventory!AB$77</f>
        <v>0</v>
      </c>
      <c r="AC18" s="10">
        <f ca="1" xml:space="preserve"> Inventory!AC$77</f>
        <v>0</v>
      </c>
      <c r="AD18" s="10">
        <f ca="1" xml:space="preserve"> Inventory!AD$77</f>
        <v>0</v>
      </c>
      <c r="AE18" s="10">
        <f ca="1" xml:space="preserve"> Inventory!AE$77</f>
        <v>0</v>
      </c>
      <c r="AF18" s="10">
        <f ca="1" xml:space="preserve"> Inventory!AF$77</f>
        <v>0</v>
      </c>
      <c r="AG18" s="10">
        <f ca="1" xml:space="preserve"> Inventory!AG$77</f>
        <v>0</v>
      </c>
      <c r="AH18" s="10">
        <f ca="1" xml:space="preserve"> Inventory!AH$77</f>
        <v>1000</v>
      </c>
      <c r="AI18" s="10">
        <f ca="1" xml:space="preserve"> Inventory!AI$77</f>
        <v>1000</v>
      </c>
      <c r="AJ18" s="10">
        <f ca="1" xml:space="preserve"> Inventory!AJ$77</f>
        <v>1000</v>
      </c>
      <c r="AK18" s="10">
        <f ca="1" xml:space="preserve"> Inventory!AK$77</f>
        <v>1000</v>
      </c>
      <c r="AL18" s="10">
        <f ca="1" xml:space="preserve"> Inventory!AL$77</f>
        <v>3000</v>
      </c>
      <c r="AM18" s="10">
        <f ca="1" xml:space="preserve"> Inventory!AM$77</f>
        <v>3000</v>
      </c>
      <c r="AN18" s="10">
        <f ca="1" xml:space="preserve"> Inventory!AN$77</f>
        <v>3000</v>
      </c>
      <c r="AO18" s="10">
        <f ca="1" xml:space="preserve"> Inventory!AO$77</f>
        <v>5000</v>
      </c>
      <c r="AP18" s="10">
        <f ca="1" xml:space="preserve"> Inventory!AP$77</f>
        <v>5000</v>
      </c>
      <c r="AQ18" s="10">
        <f ca="1" xml:space="preserve"> Inventory!AQ$77</f>
        <v>5000</v>
      </c>
      <c r="AR18" s="10">
        <f ca="1" xml:space="preserve"> Inventory!AR$77</f>
        <v>5000</v>
      </c>
      <c r="AS18" s="10">
        <f ca="1" xml:space="preserve"> Inventory!AS$77</f>
        <v>5000</v>
      </c>
      <c r="AT18" s="10">
        <f ca="1" xml:space="preserve"> Inventory!AT$77</f>
        <v>5297.3154717964762</v>
      </c>
      <c r="AU18" s="10">
        <f ca="1" xml:space="preserve"> Inventory!AU$77</f>
        <v>5612.3102415468647</v>
      </c>
      <c r="AV18" s="10">
        <f ca="1" xml:space="preserve"> Inventory!AV$77</f>
        <v>5946.035575013605</v>
      </c>
      <c r="AW18" s="10">
        <f ca="1" xml:space="preserve"> Inventory!AW$77</f>
        <v>6299.6052494743653</v>
      </c>
      <c r="AX18" s="10">
        <f ca="1" xml:space="preserve"> Inventory!AX$77</f>
        <v>6674.1992708501712</v>
      </c>
      <c r="AY18" s="10">
        <f ca="1" xml:space="preserve"> Inventory!AY$77</f>
        <v>7071.0678118654751</v>
      </c>
      <c r="AZ18" s="10">
        <f ca="1" xml:space="preserve"> Inventory!AZ$77</f>
        <v>7491.5353843834073</v>
      </c>
      <c r="BA18" s="10">
        <f ca="1" xml:space="preserve"> Inventory!BA$77</f>
        <v>7937.0052598409975</v>
      </c>
      <c r="BB18" s="10">
        <f ca="1" xml:space="preserve"> Inventory!BB$77</f>
        <v>8408.9641525371462</v>
      </c>
      <c r="BC18" s="10">
        <f ca="1" xml:space="preserve"> Inventory!BC$77</f>
        <v>8908.9871814033941</v>
      </c>
      <c r="BD18" s="10">
        <f ca="1" xml:space="preserve"> Inventory!BD$77</f>
        <v>9438.7431268169366</v>
      </c>
      <c r="BE18" s="10">
        <f ca="1" xml:space="preserve"> Inventory!BE$77</f>
        <v>10000.000000000002</v>
      </c>
      <c r="BF18" s="10">
        <f ca="1" xml:space="preserve"> Inventory!BF$77</f>
        <v>11494.630943592954</v>
      </c>
      <c r="BG18" s="10">
        <f ca="1" xml:space="preserve"> Inventory!BG$77</f>
        <v>12124.620483093731</v>
      </c>
      <c r="BH18" s="10">
        <f ca="1" xml:space="preserve"> Inventory!BH$77</f>
        <v>12792.071150027214</v>
      </c>
      <c r="BI18" s="10">
        <f ca="1" xml:space="preserve"> Inventory!BI$77</f>
        <v>13499.210498948736</v>
      </c>
      <c r="BJ18" s="10">
        <f ca="1" xml:space="preserve"> Inventory!BJ$77</f>
        <v>16048.39854170035</v>
      </c>
      <c r="BK18" s="10">
        <f ca="1" xml:space="preserve"> Inventory!BK$77</f>
        <v>16842.135623730959</v>
      </c>
      <c r="BL18" s="10">
        <f ca="1" xml:space="preserve"> Inventory!BL$77</f>
        <v>17683.070768766825</v>
      </c>
      <c r="BM18" s="10">
        <f ca="1" xml:space="preserve"> Inventory!BM$77</f>
        <v>20374.010519682004</v>
      </c>
      <c r="BN18" s="10">
        <f ca="1" xml:space="preserve"> Inventory!BN$77</f>
        <v>21317.9283050743</v>
      </c>
      <c r="BO18" s="10">
        <f ca="1" xml:space="preserve"> Inventory!BO$77</f>
        <v>22317.974362806795</v>
      </c>
      <c r="BP18" s="10">
        <f ca="1" xml:space="preserve"> Inventory!BP$77</f>
        <v>23377.486253633881</v>
      </c>
      <c r="BQ18" s="10">
        <f ca="1" xml:space="preserve"> Inventory!BQ$77</f>
        <v>24500.000000000011</v>
      </c>
    </row>
    <row r="19" spans="5:6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Inventory!J$85</f>
        <v>0</v>
      </c>
      <c r="K19" s="10">
        <f ca="1">Inventory!K$85</f>
        <v>0</v>
      </c>
      <c r="L19" s="10">
        <f ca="1">Inventory!L$85</f>
        <v>0</v>
      </c>
      <c r="M19" s="10">
        <f ca="1">Inventory!M$85</f>
        <v>0</v>
      </c>
      <c r="N19" s="10">
        <f ca="1">Inventory!N$85</f>
        <v>0</v>
      </c>
      <c r="O19" s="10">
        <f ca="1">Inventory!O$85</f>
        <v>0</v>
      </c>
      <c r="P19" s="10">
        <f ca="1">Inventory!P$85</f>
        <v>0</v>
      </c>
      <c r="Q19" s="10">
        <f ca="1">Inventory!Q$85</f>
        <v>0</v>
      </c>
      <c r="R19" s="10">
        <f ca="1">Inventory!R$85</f>
        <v>0</v>
      </c>
      <c r="S19" s="10">
        <f ca="1">Inventory!S$85</f>
        <v>0</v>
      </c>
      <c r="T19" s="10">
        <f ca="1">Inventory!T$85</f>
        <v>0</v>
      </c>
      <c r="U19" s="10">
        <f ca="1">Inventory!U$85</f>
        <v>0</v>
      </c>
      <c r="V19" s="10">
        <f ca="1">Inventory!V$85</f>
        <v>0</v>
      </c>
      <c r="W19" s="10">
        <f ca="1">Inventory!W$85</f>
        <v>0</v>
      </c>
      <c r="X19" s="10">
        <f ca="1">Inventory!X$85</f>
        <v>0</v>
      </c>
      <c r="Y19" s="10">
        <f ca="1">Inventory!Y$85</f>
        <v>0</v>
      </c>
      <c r="Z19" s="10">
        <f ca="1">Inventory!Z$85</f>
        <v>0</v>
      </c>
      <c r="AA19" s="10">
        <f ca="1">Inventory!AA$85</f>
        <v>0</v>
      </c>
      <c r="AB19" s="10">
        <f ca="1">Inventory!AB$85</f>
        <v>0</v>
      </c>
      <c r="AC19" s="10">
        <f ca="1">Inventory!AC$85</f>
        <v>0</v>
      </c>
      <c r="AD19" s="10">
        <f ca="1">Inventory!AD$85</f>
        <v>0</v>
      </c>
      <c r="AE19" s="10">
        <f ca="1">Inventory!AE$85</f>
        <v>0</v>
      </c>
      <c r="AF19" s="10">
        <f ca="1">Inventory!AF$85</f>
        <v>0</v>
      </c>
      <c r="AG19" s="10">
        <f ca="1">Inventory!AG$85</f>
        <v>0</v>
      </c>
      <c r="AH19" s="10">
        <f ca="1">Inventory!AH$85</f>
        <v>1000</v>
      </c>
      <c r="AI19" s="10">
        <f ca="1">Inventory!AI$85</f>
        <v>2000</v>
      </c>
      <c r="AJ19" s="10">
        <f ca="1">Inventory!AJ$85</f>
        <v>3000</v>
      </c>
      <c r="AK19" s="10">
        <f ca="1">Inventory!AK$85</f>
        <v>4000</v>
      </c>
      <c r="AL19" s="10">
        <f ca="1">Inventory!AL$85</f>
        <v>7000</v>
      </c>
      <c r="AM19" s="10">
        <f ca="1">Inventory!AM$85</f>
        <v>10000</v>
      </c>
      <c r="AN19" s="10">
        <f ca="1">Inventory!AN$85</f>
        <v>13000</v>
      </c>
      <c r="AO19" s="10">
        <f ca="1">Inventory!AO$85</f>
        <v>18000</v>
      </c>
      <c r="AP19" s="10">
        <f ca="1">Inventory!AP$85</f>
        <v>23000</v>
      </c>
      <c r="AQ19" s="10">
        <f ca="1">Inventory!AQ$85</f>
        <v>28000</v>
      </c>
      <c r="AR19" s="10">
        <f ca="1">Inventory!AR$85</f>
        <v>33000</v>
      </c>
      <c r="AS19" s="10">
        <f ca="1">Inventory!AS$85</f>
        <v>38000</v>
      </c>
      <c r="AT19" s="10">
        <f ca="1">Inventory!AT$85</f>
        <v>43297.315471796479</v>
      </c>
      <c r="AU19" s="10">
        <f ca="1">Inventory!AU$85</f>
        <v>48909.625713343346</v>
      </c>
      <c r="AV19" s="10">
        <f ca="1">Inventory!AV$85</f>
        <v>54855.661288356954</v>
      </c>
      <c r="AW19" s="10">
        <f ca="1">Inventory!AW$85</f>
        <v>61155.266537831318</v>
      </c>
      <c r="AX19" s="10">
        <f ca="1">Inventory!AX$85</f>
        <v>67829.465808681489</v>
      </c>
      <c r="AY19" s="10">
        <f ca="1">Inventory!AY$85</f>
        <v>74900.533620546965</v>
      </c>
      <c r="AZ19" s="10">
        <f ca="1">Inventory!AZ$85</f>
        <v>82392.069004930367</v>
      </c>
      <c r="BA19" s="10">
        <f ca="1">Inventory!BA$85</f>
        <v>90329.074264771363</v>
      </c>
      <c r="BB19" s="10">
        <f ca="1">Inventory!BB$85</f>
        <v>98738.038417308504</v>
      </c>
      <c r="BC19" s="10">
        <f ca="1">Inventory!BC$85</f>
        <v>107647.0255987119</v>
      </c>
      <c r="BD19" s="10">
        <f ca="1">Inventory!BD$85</f>
        <v>117085.76872552883</v>
      </c>
      <c r="BE19" s="10">
        <f ca="1">Inventory!BE$85</f>
        <v>127085.76872552883</v>
      </c>
      <c r="BF19" s="10">
        <f ca="1">Inventory!BF$85</f>
        <v>138580.39966912178</v>
      </c>
      <c r="BG19" s="10">
        <f ca="1">Inventory!BG$85</f>
        <v>150705.0201522155</v>
      </c>
      <c r="BH19" s="10">
        <f ca="1">Inventory!BH$85</f>
        <v>163497.09130224271</v>
      </c>
      <c r="BI19" s="10">
        <f ca="1">Inventory!BI$85</f>
        <v>176996.30180119144</v>
      </c>
      <c r="BJ19" s="10">
        <f ca="1">Inventory!BJ$85</f>
        <v>193044.7003428918</v>
      </c>
      <c r="BK19" s="10">
        <f ca="1">Inventory!BK$85</f>
        <v>209886.83596662275</v>
      </c>
      <c r="BL19" s="10">
        <f ca="1">Inventory!BL$85</f>
        <v>227569.90673538958</v>
      </c>
      <c r="BM19" s="10">
        <f ca="1">Inventory!BM$85</f>
        <v>247943.91725507157</v>
      </c>
      <c r="BN19" s="10">
        <f ca="1">Inventory!BN$85</f>
        <v>269261.84556014586</v>
      </c>
      <c r="BO19" s="10">
        <f ca="1">Inventory!BO$85</f>
        <v>291579.81992295268</v>
      </c>
      <c r="BP19" s="10">
        <f ca="1">Inventory!BP$85</f>
        <v>314957.30617658654</v>
      </c>
      <c r="BQ19" s="10">
        <f ca="1">Inventory!BQ$85</f>
        <v>339457.30617658654</v>
      </c>
    </row>
  </sheetData>
  <conditionalFormatting sqref="F3">
    <cfRule type="cellIs" dxfId="61" priority="8" stopIfTrue="1" operator="notEqual">
      <formula>0</formula>
    </cfRule>
    <cfRule type="cellIs" dxfId="60" priority="9" stopIfTrue="1" operator="equal">
      <formula>""</formula>
    </cfRule>
  </conditionalFormatting>
  <conditionalFormatting sqref="J3:BQ3">
    <cfRule type="cellIs" dxfId="59" priority="6" stopIfTrue="1" operator="equal">
      <formula>"Construction"</formula>
    </cfRule>
    <cfRule type="cellIs" dxfId="58" priority="7" stopIfTrue="1" operator="equal">
      <formula>"Operations"</formula>
    </cfRule>
  </conditionalFormatting>
  <conditionalFormatting sqref="J3:BQ3">
    <cfRule type="cellIs" dxfId="57" priority="5" operator="equal">
      <formula>"Fin Close"</formula>
    </cfRule>
  </conditionalFormatting>
  <conditionalFormatting sqref="J3:BQ3">
    <cfRule type="cellIs" dxfId="56" priority="3" operator="equal">
      <formula>"PPA ext."</formula>
    </cfRule>
    <cfRule type="cellIs" dxfId="55" priority="4" operator="equal">
      <formula>"Delay"</formula>
    </cfRule>
  </conditionalFormatting>
  <conditionalFormatting sqref="F2">
    <cfRule type="cellIs" dxfId="54" priority="1" stopIfTrue="1" operator="notEqual">
      <formula>0</formula>
    </cfRule>
    <cfRule type="cellIs" dxfId="53"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4F81BD"/>
    <outlinePr summaryBelow="0" summaryRight="0"/>
  </sheetPr>
  <dimension ref="A1:AC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Inventory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Time!$J332:$BQ332, Time!J$28, Customers!$J14:$BQ14)</f>
        <v>3000</v>
      </c>
      <c r="K8" s="10">
        <f xml:space="preserve"> SUMIF( Time!$J332:$BQ332, Time!K$28, Customers!$J14:$BQ14)</f>
        <v>7000</v>
      </c>
      <c r="L8" s="10">
        <f xml:space="preserve"> SUMIF( Time!$J332:$BQ332, Time!L$28, Customers!$J14:$BQ14)</f>
        <v>13000</v>
      </c>
      <c r="M8" s="10">
        <f xml:space="preserve"> SUMIF( Time!$J332:$BQ332, Time!M$28, Customers!$J14:$BQ14)</f>
        <v>15000</v>
      </c>
      <c r="N8" s="10">
        <f xml:space="preserve"> SUMIF( Time!$J332:$BQ332, Time!N$28, Customers!$J14:$BQ14)</f>
        <v>16855.661288356947</v>
      </c>
      <c r="O8" s="10">
        <f xml:space="preserve"> SUMIF( Time!$J332:$BQ332, Time!O$28, Customers!$J14:$BQ14)</f>
        <v>20044.872332190011</v>
      </c>
      <c r="P8" s="10">
        <f xml:space="preserve"> SUMIF( Time!$J332:$BQ332, Time!P$28, Customers!$J14:$BQ14)</f>
        <v>23837.504796761554</v>
      </c>
      <c r="Q8" s="10">
        <f xml:space="preserve"> SUMIF( Time!$J332:$BQ332, Time!Q$28, Customers!$J14:$BQ14)</f>
        <v>28347.730308220329</v>
      </c>
      <c r="R8" s="10">
        <f xml:space="preserve"> SUMIF( Time!$J332:$BQ332, Time!R$28, Customers!$J14:$BQ14)</f>
        <v>33711.322576713901</v>
      </c>
      <c r="S8" s="10">
        <f xml:space="preserve"> SUMIF( Time!$J332:$BQ332, Time!S$28, Customers!$J14:$BQ14)</f>
        <v>40089.744664380043</v>
      </c>
      <c r="T8" s="10">
        <f xml:space="preserve"> SUMIF( Time!$J332:$BQ332, Time!T$28, Customers!$J14:$BQ14)</f>
        <v>47675.009593523122</v>
      </c>
      <c r="U8" s="10">
        <f xml:space="preserve"> SUMIF( Time!$J332:$BQ332, Time!U$28, Customers!$J14:$BQ14)</f>
        <v>56695.460616440687</v>
      </c>
      <c r="V8" s="10">
        <f xml:space="preserve"> SUMIF( Time!$J332:$BQ332, Time!V$28, Customers!$J14:$BQ14)</f>
        <v>67422.645153427846</v>
      </c>
      <c r="W8" s="10">
        <f xml:space="preserve"> SUMIF( Time!$J332:$BQ332, Time!W$28, Customers!$J14:$BQ14)</f>
        <v>80179.48932876013</v>
      </c>
      <c r="X8" s="10">
        <f xml:space="preserve"> SUMIF( Time!$J332:$BQ332, Time!X$28, Customers!$J14:$BQ14)</f>
        <v>95350.019187046302</v>
      </c>
      <c r="Y8" s="10">
        <f xml:space="preserve"> SUMIF( Time!$J332:$BQ332, Time!Y$28, Customers!$J14:$BQ14)</f>
        <v>113390.92123288146</v>
      </c>
      <c r="Z8" s="10">
        <f xml:space="preserve"> SUMIF( Time!$J332:$BQ332, Time!Z$28, Customers!$J14:$BQ14)</f>
        <v>134845.29030685578</v>
      </c>
      <c r="AA8" s="10">
        <f xml:space="preserve"> SUMIF( Time!$J332:$BQ332, Time!AA$28, Customers!$J14:$BQ14)</f>
        <v>160358.97865752035</v>
      </c>
      <c r="AB8" s="10">
        <f xml:space="preserve"> SUMIF( Time!$J332:$BQ332, Time!AB$28, Customers!$J14:$BQ14)</f>
        <v>190700.03837409272</v>
      </c>
      <c r="AC8" s="10">
        <f xml:space="preserve"> SUMIF( Time!$J332:$BQ332, Time!AC$28, Customers!$J14:$BQ14)</f>
        <v>226781.84246576301</v>
      </c>
    </row>
    <row r="9" spans="1:2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Time!$J332:$BQ332, Time!J$28, Customers!$J35:$BQ35)</f>
        <v>0</v>
      </c>
      <c r="K9" s="10">
        <f ca="1" xml:space="preserve"> SUMIF( Time!$J332:$BQ332, Time!K$28, Customers!$J35:$BQ35)</f>
        <v>0</v>
      </c>
      <c r="L9" s="10">
        <f ca="1" xml:space="preserve"> SUMIF( Time!$J332:$BQ332, Time!L$28, Customers!$J35:$BQ35)</f>
        <v>0</v>
      </c>
      <c r="M9" s="10">
        <f ca="1" xml:space="preserve"> SUMIF( Time!$J332:$BQ332, Time!M$28, Customers!$J35:$BQ35)</f>
        <v>0</v>
      </c>
      <c r="N9" s="10">
        <f ca="1" xml:space="preserve"> SUMIF( Time!$J332:$BQ332, Time!N$28, Customers!$J35:$BQ35)</f>
        <v>0</v>
      </c>
      <c r="O9" s="10">
        <f ca="1" xml:space="preserve"> SUMIF( Time!$J332:$BQ332, Time!O$28, Customers!$J35:$BQ35)</f>
        <v>0</v>
      </c>
      <c r="P9" s="10">
        <f ca="1" xml:space="preserve"> SUMIF( Time!$J332:$BQ332, Time!P$28, Customers!$J35:$BQ35)</f>
        <v>0</v>
      </c>
      <c r="Q9" s="10">
        <f ca="1" xml:space="preserve"> SUMIF( Time!$J332:$BQ332, Time!Q$28, Customers!$J35:$BQ35)</f>
        <v>0</v>
      </c>
      <c r="R9" s="10">
        <f ca="1" xml:space="preserve"> SUMIF( Time!$J332:$BQ332, Time!R$28, Customers!$J35:$BQ35)</f>
        <v>2700</v>
      </c>
      <c r="S9" s="10">
        <f ca="1" xml:space="preserve"> SUMIF( Time!$J332:$BQ332, Time!S$28, Customers!$J35:$BQ35)</f>
        <v>6300</v>
      </c>
      <c r="T9" s="10">
        <f ca="1" xml:space="preserve"> SUMIF( Time!$J332:$BQ332, Time!T$28, Customers!$J35:$BQ35)</f>
        <v>11700</v>
      </c>
      <c r="U9" s="10">
        <f ca="1" xml:space="preserve"> SUMIF( Time!$J332:$BQ332, Time!U$28, Customers!$J35:$BQ35)</f>
        <v>13500</v>
      </c>
      <c r="V9" s="10">
        <f ca="1" xml:space="preserve"> SUMIF( Time!$J332:$BQ332, Time!V$28, Customers!$J35:$BQ35)</f>
        <v>15170.095159521252</v>
      </c>
      <c r="W9" s="10">
        <f ca="1" xml:space="preserve"> SUMIF( Time!$J332:$BQ332, Time!W$28, Customers!$J35:$BQ35)</f>
        <v>18040.385098971012</v>
      </c>
      <c r="X9" s="10">
        <f ca="1" xml:space="preserve"> SUMIF( Time!$J332:$BQ332, Time!X$28, Customers!$J35:$BQ35)</f>
        <v>21453.754317085397</v>
      </c>
      <c r="Y9" s="10">
        <f ca="1" xml:space="preserve"> SUMIF( Time!$J332:$BQ332, Time!Y$28, Customers!$J35:$BQ35)</f>
        <v>25512.957277398302</v>
      </c>
      <c r="Z9" s="10">
        <f ca="1" xml:space="preserve"> SUMIF( Time!$J332:$BQ332, Time!Z$28, Customers!$J35:$BQ35)</f>
        <v>30340.190319042511</v>
      </c>
      <c r="AA9" s="10">
        <f ca="1" xml:space="preserve"> SUMIF( Time!$J332:$BQ332, Time!AA$28, Customers!$J35:$BQ35)</f>
        <v>36080.770197942038</v>
      </c>
      <c r="AB9" s="10">
        <f ca="1" xml:space="preserve"> SUMIF( Time!$J332:$BQ332, Time!AB$28, Customers!$J35:$BQ35)</f>
        <v>42907.508634170816</v>
      </c>
      <c r="AC9" s="10">
        <f ca="1" xml:space="preserve"> SUMIF( Time!$J332:$BQ332, Time!AC$28, Customers!$J35:$BQ35)</f>
        <v>51025.914554796618</v>
      </c>
    </row>
    <row r="10" spans="1:2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Time!$J337:$BQ337, Time!J$28, Customers!$J24:$BQ24)</f>
        <v>1000</v>
      </c>
      <c r="K10" s="10">
        <f ca="1" xml:space="preserve"> SUMIF( Time!$J337:$BQ337, Time!K$28, Customers!$J24:$BQ24)</f>
        <v>4000</v>
      </c>
      <c r="L10" s="10">
        <f ca="1" xml:space="preserve"> SUMIF( Time!$J337:$BQ337, Time!L$28, Customers!$J24:$BQ24)</f>
        <v>7000</v>
      </c>
      <c r="M10" s="10">
        <f ca="1" xml:space="preserve"> SUMIF( Time!$J337:$BQ337, Time!M$28, Customers!$J24:$BQ24)</f>
        <v>12000</v>
      </c>
      <c r="N10" s="10">
        <f ca="1" xml:space="preserve"> SUMIF( Time!$J337:$BQ337, Time!N$28, Customers!$J24:$BQ24)</f>
        <v>8855.6612883569433</v>
      </c>
      <c r="O10" s="10">
        <f ca="1" xml:space="preserve"> SUMIF( Time!$J337:$BQ337, Time!O$28, Customers!$J24:$BQ24)</f>
        <v>18900.533620546954</v>
      </c>
      <c r="P10" s="10">
        <f ca="1" xml:space="preserve"> SUMIF( Time!$J337:$BQ337, Time!P$28, Customers!$J24:$BQ24)</f>
        <v>42738.038417308504</v>
      </c>
      <c r="Q10" s="10">
        <f ca="1" xml:space="preserve"> SUMIF( Time!$J337:$BQ337, Time!Q$28, Customers!$J24:$BQ24)</f>
        <v>61085.768725528847</v>
      </c>
      <c r="R10" s="10">
        <f ca="1" xml:space="preserve"> SUMIF( Time!$J337:$BQ337, Time!R$28, Customers!$J24:$BQ24)</f>
        <v>72497.091302242756</v>
      </c>
      <c r="S10" s="10">
        <f ca="1" xml:space="preserve"> SUMIF( Time!$J337:$BQ337, Time!S$28, Customers!$J24:$BQ24)</f>
        <v>93886.835966622806</v>
      </c>
      <c r="T10" s="10">
        <f ca="1" xml:space="preserve"> SUMIF( Time!$J337:$BQ337, Time!T$28, Customers!$J24:$BQ24)</f>
        <v>118261.84556014591</v>
      </c>
      <c r="U10" s="10">
        <f ca="1" xml:space="preserve"> SUMIF( Time!$J337:$BQ337, Time!U$28, Customers!$J24:$BQ24)</f>
        <v>148457.3061765866</v>
      </c>
      <c r="V10" s="10">
        <f ca="1" xml:space="preserve"> SUMIF( Time!$J337:$BQ337, Time!V$28, Customers!$J24:$BQ24)</f>
        <v>176050.04648953566</v>
      </c>
      <c r="W10" s="10">
        <f ca="1" xml:space="preserve"> SUMIF( Time!$J337:$BQ337, Time!W$28, Customers!$J24:$BQ24)</f>
        <v>209269.92091726681</v>
      </c>
      <c r="X10" s="10">
        <f ca="1" xml:space="preserve"> SUMIF( Time!$J337:$BQ337, Time!X$28, Customers!$J24:$BQ24)</f>
        <v>246073.69442139845</v>
      </c>
      <c r="Y10" s="10">
        <f ca="1" xml:space="preserve"> SUMIF( Time!$J337:$BQ337, Time!Y$28, Customers!$J24:$BQ24)</f>
        <v>289977.57293167821</v>
      </c>
      <c r="Z10" s="10">
        <f ca="1" xml:space="preserve"> SUMIF( Time!$J337:$BQ337, Time!Z$28, Customers!$J24:$BQ24)</f>
        <v>345163.0535575765</v>
      </c>
      <c r="AA10" s="10">
        <f ca="1" xml:space="preserve"> SUMIF( Time!$J337:$BQ337, Time!AA$28, Customers!$J24:$BQ24)</f>
        <v>411602.80241303897</v>
      </c>
      <c r="AB10" s="10">
        <f ca="1" xml:space="preserve"> SUMIF( Time!$J337:$BQ337, Time!AB$28, Customers!$J24:$BQ24)</f>
        <v>490210.34942130244</v>
      </c>
      <c r="AC10" s="10">
        <f ca="1" xml:space="preserve"> SUMIF( Time!$J337:$BQ337, Time!AC$28, Customers!$J24:$BQ24)</f>
        <v>583018.10644186207</v>
      </c>
    </row>
    <row r="11" spans="1:2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Time!$J332:$BQ332, Time!J$28, Inventory!$J33:$BQ33)</f>
        <v>10000</v>
      </c>
      <c r="K11" s="10">
        <f xml:space="preserve"> SUMIF( Time!$J332:$BQ332, Time!K$28, Inventory!$J33:$BQ33)</f>
        <v>20000</v>
      </c>
      <c r="L11" s="10">
        <f xml:space="preserve"> SUMIF( Time!$J332:$BQ332, Time!L$28, Inventory!$J33:$BQ33)</f>
        <v>20000</v>
      </c>
      <c r="M11" s="10">
        <f xml:space="preserve"> SUMIF( Time!$J332:$BQ332, Time!M$28, Inventory!$J33:$BQ33)</f>
        <v>0</v>
      </c>
      <c r="N11" s="10">
        <f ca="1" xml:space="preserve"> SUMIF( Time!$J332:$BQ332, Time!N$28, Inventory!$J33:$BQ33)</f>
        <v>0</v>
      </c>
      <c r="O11" s="10">
        <f ca="1" xml:space="preserve"> SUMIF( Time!$J332:$BQ332, Time!O$28, Inventory!$J33:$BQ33)</f>
        <v>15000</v>
      </c>
      <c r="P11" s="10">
        <f ca="1" xml:space="preserve"> SUMIF( Time!$J332:$BQ332, Time!P$28, Inventory!$J33:$BQ33)</f>
        <v>25000</v>
      </c>
      <c r="Q11" s="10">
        <f ca="1" xml:space="preserve"> SUMIF( Time!$J332:$BQ332, Time!Q$28, Inventory!$J33:$BQ33)</f>
        <v>30000</v>
      </c>
      <c r="R11" s="10">
        <f ca="1" xml:space="preserve"> SUMIF( Time!$J332:$BQ332, Time!R$28, Inventory!$J33:$BQ33)</f>
        <v>35000</v>
      </c>
      <c r="S11" s="10">
        <f ca="1" xml:space="preserve"> SUMIF( Time!$J332:$BQ332, Time!S$28, Inventory!$J33:$BQ33)</f>
        <v>45000</v>
      </c>
      <c r="T11" s="10">
        <f ca="1" xml:space="preserve"> SUMIF( Time!$J332:$BQ332, Time!T$28, Inventory!$J33:$BQ33)</f>
        <v>60000</v>
      </c>
      <c r="U11" s="10">
        <f ca="1" xml:space="preserve"> SUMIF( Time!$J332:$BQ332, Time!U$28, Inventory!$J33:$BQ33)</f>
        <v>70000</v>
      </c>
      <c r="V11" s="10">
        <f ca="1" xml:space="preserve"> SUMIF( Time!$J332:$BQ332, Time!V$28, Inventory!$J33:$BQ33)</f>
        <v>85000</v>
      </c>
      <c r="W11" s="10">
        <f ca="1" xml:space="preserve"> SUMIF( Time!$J332:$BQ332, Time!W$28, Inventory!$J33:$BQ33)</f>
        <v>100000</v>
      </c>
      <c r="X11" s="10">
        <f ca="1" xml:space="preserve"> SUMIF( Time!$J332:$BQ332, Time!X$28, Inventory!$J33:$BQ33)</f>
        <v>115000</v>
      </c>
      <c r="Y11" s="10">
        <f ca="1" xml:space="preserve"> SUMIF( Time!$J332:$BQ332, Time!Y$28, Inventory!$J33:$BQ33)</f>
        <v>140000</v>
      </c>
      <c r="Z11" s="10">
        <f ca="1" xml:space="preserve"> SUMIF( Time!$J332:$BQ332, Time!Z$28, Inventory!$J33:$BQ33)</f>
        <v>165000</v>
      </c>
      <c r="AA11" s="10">
        <f ca="1" xml:space="preserve"> SUMIF( Time!$J332:$BQ332, Time!AA$28, Inventory!$J33:$BQ33)</f>
        <v>195000</v>
      </c>
      <c r="AB11" s="10">
        <f ca="1" xml:space="preserve"> SUMIF( Time!$J332:$BQ332, Time!AB$28, Inventory!$J33:$BQ33)</f>
        <v>235000</v>
      </c>
      <c r="AC11" s="10">
        <f ca="1" xml:space="preserve"> SUMIF( Time!$J332:$BQ332, Time!AC$28, Inventory!$J33:$BQ33)</f>
        <v>275000</v>
      </c>
    </row>
    <row r="12" spans="1:2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Time!$J337:$BQ337, Time!J$28, Inventory!$J50:$BQ50)</f>
        <v>10000</v>
      </c>
      <c r="K12" s="10">
        <f ca="1" xml:space="preserve"> SUMIF( Time!$J337:$BQ337, Time!K$28, Inventory!$J50:$BQ50)</f>
        <v>20000</v>
      </c>
      <c r="L12" s="10">
        <f ca="1" xml:space="preserve"> SUMIF( Time!$J337:$BQ337, Time!L$28, Inventory!$J50:$BQ50)</f>
        <v>40000</v>
      </c>
      <c r="M12" s="10">
        <f ca="1" xml:space="preserve"> SUMIF( Time!$J337:$BQ337, Time!M$28, Inventory!$J50:$BQ50)</f>
        <v>20000</v>
      </c>
      <c r="N12" s="10">
        <f ca="1" xml:space="preserve"> SUMIF( Time!$J337:$BQ337, Time!N$28, Inventory!$J50:$BQ50)</f>
        <v>0</v>
      </c>
      <c r="O12" s="10">
        <f ca="1" xml:space="preserve"> SUMIF( Time!$J337:$BQ337, Time!O$28, Inventory!$J50:$BQ50)</f>
        <v>15000</v>
      </c>
      <c r="P12" s="10">
        <f ca="1" xml:space="preserve"> SUMIF( Time!$J337:$BQ337, Time!P$28, Inventory!$J50:$BQ50)</f>
        <v>40000</v>
      </c>
      <c r="Q12" s="10">
        <f ca="1" xml:space="preserve"> SUMIF( Time!$J337:$BQ337, Time!Q$28, Inventory!$J50:$BQ50)</f>
        <v>55000</v>
      </c>
      <c r="R12" s="10">
        <f ca="1" xml:space="preserve"> SUMIF( Time!$J337:$BQ337, Time!R$28, Inventory!$J50:$BQ50)</f>
        <v>65000</v>
      </c>
      <c r="S12" s="10">
        <f ca="1" xml:space="preserve"> SUMIF( Time!$J337:$BQ337, Time!S$28, Inventory!$J50:$BQ50)</f>
        <v>80000</v>
      </c>
      <c r="T12" s="10">
        <f ca="1" xml:space="preserve"> SUMIF( Time!$J337:$BQ337, Time!T$28, Inventory!$J50:$BQ50)</f>
        <v>105000</v>
      </c>
      <c r="U12" s="10">
        <f ca="1" xml:space="preserve"> SUMIF( Time!$J337:$BQ337, Time!U$28, Inventory!$J50:$BQ50)</f>
        <v>130000</v>
      </c>
      <c r="V12" s="10">
        <f ca="1" xml:space="preserve"> SUMIF( Time!$J337:$BQ337, Time!V$28, Inventory!$J50:$BQ50)</f>
        <v>155000</v>
      </c>
      <c r="W12" s="10">
        <f ca="1" xml:space="preserve"> SUMIF( Time!$J337:$BQ337, Time!W$28, Inventory!$J50:$BQ50)</f>
        <v>185000</v>
      </c>
      <c r="X12" s="10">
        <f ca="1" xml:space="preserve"> SUMIF( Time!$J337:$BQ337, Time!X$28, Inventory!$J50:$BQ50)</f>
        <v>215000</v>
      </c>
      <c r="Y12" s="10">
        <f ca="1" xml:space="preserve"> SUMIF( Time!$J337:$BQ337, Time!Y$28, Inventory!$J50:$BQ50)</f>
        <v>255000</v>
      </c>
      <c r="Z12" s="10">
        <f ca="1" xml:space="preserve"> SUMIF( Time!$J337:$BQ337, Time!Z$28, Inventory!$J50:$BQ50)</f>
        <v>305000</v>
      </c>
      <c r="AA12" s="10">
        <f ca="1" xml:space="preserve"> SUMIF( Time!$J337:$BQ337, Time!AA$28, Inventory!$J50:$BQ50)</f>
        <v>360000</v>
      </c>
      <c r="AB12" s="10">
        <f ca="1" xml:space="preserve"> SUMIF( Time!$J337:$BQ337, Time!AB$28, Inventory!$J50:$BQ50)</f>
        <v>430000</v>
      </c>
      <c r="AC12" s="10">
        <f ca="1" xml:space="preserve"> SUMIF( Time!$J337:$BQ337, Time!AC$28, Inventory!$J50:$BQ50)</f>
        <v>510000</v>
      </c>
    </row>
    <row r="13" spans="1:2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Time!$J332:$BQ332, Time!J$28, Inventory!$J41:$BQ41)</f>
        <v>5000</v>
      </c>
      <c r="K13" s="10">
        <f ca="1" xml:space="preserve"> SUMIF( Time!$J332:$BQ332, Time!K$28, Inventory!$J41:$BQ41)</f>
        <v>10000</v>
      </c>
      <c r="L13" s="10">
        <f ca="1" xml:space="preserve"> SUMIF( Time!$J332:$BQ332, Time!L$28, Inventory!$J41:$BQ41)</f>
        <v>0</v>
      </c>
      <c r="M13" s="10">
        <f ca="1" xml:space="preserve"> SUMIF( Time!$J332:$BQ332, Time!M$28, Inventory!$J41:$BQ41)</f>
        <v>20000</v>
      </c>
      <c r="N13" s="10">
        <f ca="1" xml:space="preserve"> SUMIF( Time!$J332:$BQ332, Time!N$28, Inventory!$J41:$BQ41)</f>
        <v>20000</v>
      </c>
      <c r="O13" s="10">
        <f ca="1" xml:space="preserve"> SUMIF( Time!$J332:$BQ332, Time!O$28, Inventory!$J41:$BQ41)</f>
        <v>0</v>
      </c>
      <c r="P13" s="10">
        <f ca="1" xml:space="preserve"> SUMIF( Time!$J332:$BQ332, Time!P$28, Inventory!$J41:$BQ41)</f>
        <v>0</v>
      </c>
      <c r="Q13" s="10">
        <f ca="1" xml:space="preserve"> SUMIF( Time!$J332:$BQ332, Time!Q$28, Inventory!$J41:$BQ41)</f>
        <v>15000</v>
      </c>
      <c r="R13" s="10">
        <f ca="1" xml:space="preserve"> SUMIF( Time!$J332:$BQ332, Time!R$28, Inventory!$J41:$BQ41)</f>
        <v>25000</v>
      </c>
      <c r="S13" s="10">
        <f ca="1" xml:space="preserve"> SUMIF( Time!$J332:$BQ332, Time!S$28, Inventory!$J41:$BQ41)</f>
        <v>30000</v>
      </c>
      <c r="T13" s="10">
        <f ca="1" xml:space="preserve"> SUMIF( Time!$J332:$BQ332, Time!T$28, Inventory!$J41:$BQ41)</f>
        <v>35000</v>
      </c>
      <c r="U13" s="10">
        <f ca="1" xml:space="preserve"> SUMIF( Time!$J332:$BQ332, Time!U$28, Inventory!$J41:$BQ41)</f>
        <v>45000</v>
      </c>
      <c r="V13" s="10">
        <f ca="1" xml:space="preserve"> SUMIF( Time!$J332:$BQ332, Time!V$28, Inventory!$J41:$BQ41)</f>
        <v>60000</v>
      </c>
      <c r="W13" s="10">
        <f ca="1" xml:space="preserve"> SUMIF( Time!$J332:$BQ332, Time!W$28, Inventory!$J41:$BQ41)</f>
        <v>70000</v>
      </c>
      <c r="X13" s="10">
        <f ca="1" xml:space="preserve"> SUMIF( Time!$J332:$BQ332, Time!X$28, Inventory!$J41:$BQ41)</f>
        <v>85000</v>
      </c>
      <c r="Y13" s="10">
        <f ca="1" xml:space="preserve"> SUMIF( Time!$J332:$BQ332, Time!Y$28, Inventory!$J41:$BQ41)</f>
        <v>100000</v>
      </c>
      <c r="Z13" s="10">
        <f ca="1" xml:space="preserve"> SUMIF( Time!$J332:$BQ332, Time!Z$28, Inventory!$J41:$BQ41)</f>
        <v>115000</v>
      </c>
      <c r="AA13" s="10">
        <f ca="1" xml:space="preserve"> SUMIF( Time!$J332:$BQ332, Time!AA$28, Inventory!$J41:$BQ41)</f>
        <v>140000</v>
      </c>
      <c r="AB13" s="10">
        <f ca="1" xml:space="preserve"> SUMIF( Time!$J332:$BQ332, Time!AB$28, Inventory!$J41:$BQ41)</f>
        <v>165000</v>
      </c>
      <c r="AC13" s="10">
        <f ca="1" xml:space="preserve"> SUMIF( Time!$J332:$BQ332, Time!AC$28, Inventory!$J41:$BQ41)</f>
        <v>195000</v>
      </c>
    </row>
    <row r="14" spans="1:2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Time!$J332:$BQ332, Time!J$28, Inventory!$J18:$BQ18)</f>
        <v>0</v>
      </c>
      <c r="K14" s="10">
        <f ca="1" xml:space="preserve"> SUMIF( Time!$J332:$BQ332, Time!K$28, Inventory!$J18:$BQ18)</f>
        <v>0</v>
      </c>
      <c r="L14" s="10">
        <f ca="1" xml:space="preserve"> SUMIF( Time!$J332:$BQ332, Time!L$28, Inventory!$J18:$BQ18)</f>
        <v>0</v>
      </c>
      <c r="M14" s="10">
        <f ca="1" xml:space="preserve"> SUMIF( Time!$J332:$BQ332, Time!M$28, Inventory!$J18:$BQ18)</f>
        <v>0</v>
      </c>
      <c r="N14" s="10">
        <f ca="1" xml:space="preserve"> SUMIF( Time!$J332:$BQ332, Time!N$28, Inventory!$J18:$BQ18)</f>
        <v>0</v>
      </c>
      <c r="O14" s="10">
        <f ca="1" xml:space="preserve"> SUMIF( Time!$J332:$BQ332, Time!O$28, Inventory!$J18:$BQ18)</f>
        <v>0</v>
      </c>
      <c r="P14" s="10">
        <f ca="1" xml:space="preserve"> SUMIF( Time!$J332:$BQ332, Time!P$28, Inventory!$J18:$BQ18)</f>
        <v>0</v>
      </c>
      <c r="Q14" s="10">
        <f ca="1" xml:space="preserve"> SUMIF( Time!$J332:$BQ332, Time!Q$28, Inventory!$J18:$BQ18)</f>
        <v>0</v>
      </c>
      <c r="R14" s="10">
        <f ca="1" xml:space="preserve"> SUMIF( Time!$J332:$BQ332, Time!R$28, Inventory!$J18:$BQ18)</f>
        <v>3000</v>
      </c>
      <c r="S14" s="10">
        <f ca="1" xml:space="preserve"> SUMIF( Time!$J332:$BQ332, Time!S$28, Inventory!$J18:$BQ18)</f>
        <v>7000</v>
      </c>
      <c r="T14" s="10">
        <f ca="1" xml:space="preserve"> SUMIF( Time!$J332:$BQ332, Time!T$28, Inventory!$J18:$BQ18)</f>
        <v>13000</v>
      </c>
      <c r="U14" s="10">
        <f ca="1" xml:space="preserve"> SUMIF( Time!$J332:$BQ332, Time!U$28, Inventory!$J18:$BQ18)</f>
        <v>15000</v>
      </c>
      <c r="V14" s="10">
        <f ca="1" xml:space="preserve"> SUMIF( Time!$J332:$BQ332, Time!V$28, Inventory!$J18:$BQ18)</f>
        <v>16855.661288356947</v>
      </c>
      <c r="W14" s="10">
        <f ca="1" xml:space="preserve"> SUMIF( Time!$J332:$BQ332, Time!W$28, Inventory!$J18:$BQ18)</f>
        <v>20044.872332190011</v>
      </c>
      <c r="X14" s="10">
        <f ca="1" xml:space="preserve"> SUMIF( Time!$J332:$BQ332, Time!X$28, Inventory!$J18:$BQ18)</f>
        <v>23837.504796761554</v>
      </c>
      <c r="Y14" s="10">
        <f ca="1" xml:space="preserve"> SUMIF( Time!$J332:$BQ332, Time!Y$28, Inventory!$J18:$BQ18)</f>
        <v>28347.730308220329</v>
      </c>
      <c r="Z14" s="10">
        <f ca="1" xml:space="preserve"> SUMIF( Time!$J332:$BQ332, Time!Z$28, Inventory!$J18:$BQ18)</f>
        <v>36411.322576713901</v>
      </c>
      <c r="AA14" s="10">
        <f ca="1" xml:space="preserve"> SUMIF( Time!$J332:$BQ332, Time!AA$28, Inventory!$J18:$BQ18)</f>
        <v>46389.744664380043</v>
      </c>
      <c r="AB14" s="10">
        <f ca="1" xml:space="preserve"> SUMIF( Time!$J332:$BQ332, Time!AB$28, Inventory!$J18:$BQ18)</f>
        <v>59375.009593523122</v>
      </c>
      <c r="AC14" s="10">
        <f ca="1" xml:space="preserve"> SUMIF( Time!$J332:$BQ332, Time!AC$28, Inventory!$J18:$BQ18)</f>
        <v>70195.460616440687</v>
      </c>
    </row>
    <row r="15" spans="1:2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Time!$J337:$BQ337, Time!J$28, Inventory!$J65:$BQ65)</f>
        <v>4000</v>
      </c>
      <c r="K15" s="10">
        <f ca="1" xml:space="preserve"> SUMIF( Time!$J337:$BQ337, Time!K$28, Inventory!$J65:$BQ65)</f>
        <v>10000</v>
      </c>
      <c r="L15" s="10">
        <f ca="1" xml:space="preserve"> SUMIF( Time!$J337:$BQ337, Time!L$28, Inventory!$J65:$BQ65)</f>
        <v>0</v>
      </c>
      <c r="M15" s="10">
        <f ca="1" xml:space="preserve"> SUMIF( Time!$J337:$BQ337, Time!M$28, Inventory!$J65:$BQ65)</f>
        <v>10000</v>
      </c>
      <c r="N15" s="10">
        <f ca="1" xml:space="preserve"> SUMIF( Time!$J337:$BQ337, Time!N$28, Inventory!$J65:$BQ65)</f>
        <v>10000</v>
      </c>
      <c r="O15" s="10">
        <f ca="1" xml:space="preserve"> SUMIF( Time!$J337:$BQ337, Time!O$28, Inventory!$J65:$BQ65)</f>
        <v>0</v>
      </c>
      <c r="P15" s="10">
        <f ca="1" xml:space="preserve"> SUMIF( Time!$J337:$BQ337, Time!P$28, Inventory!$J65:$BQ65)</f>
        <v>0</v>
      </c>
      <c r="Q15" s="10">
        <f ca="1" xml:space="preserve"> SUMIF( Time!$J337:$BQ337, Time!Q$28, Inventory!$J65:$BQ65)</f>
        <v>5000</v>
      </c>
      <c r="R15" s="10">
        <f ca="1" xml:space="preserve"> SUMIF( Time!$J337:$BQ337, Time!R$28, Inventory!$J65:$BQ65)</f>
        <v>5000</v>
      </c>
      <c r="S15" s="10">
        <f ca="1" xml:space="preserve"> SUMIF( Time!$J337:$BQ337, Time!S$28, Inventory!$J65:$BQ65)</f>
        <v>10000</v>
      </c>
      <c r="T15" s="10">
        <f ca="1" xml:space="preserve"> SUMIF( Time!$J337:$BQ337, Time!T$28, Inventory!$J65:$BQ65)</f>
        <v>10000</v>
      </c>
      <c r="U15" s="10">
        <f ca="1" xml:space="preserve"> SUMIF( Time!$J337:$BQ337, Time!U$28, Inventory!$J65:$BQ65)</f>
        <v>15000</v>
      </c>
      <c r="V15" s="10">
        <f ca="1" xml:space="preserve"> SUMIF( Time!$J337:$BQ337, Time!V$28, Inventory!$J65:$BQ65)</f>
        <v>20000</v>
      </c>
      <c r="W15" s="10">
        <f ca="1" xml:space="preserve"> SUMIF( Time!$J337:$BQ337, Time!W$28, Inventory!$J65:$BQ65)</f>
        <v>25000</v>
      </c>
      <c r="X15" s="10">
        <f ca="1" xml:space="preserve"> SUMIF( Time!$J337:$BQ337, Time!X$28, Inventory!$J65:$BQ65)</f>
        <v>30000</v>
      </c>
      <c r="Y15" s="10">
        <f ca="1" xml:space="preserve"> SUMIF( Time!$J337:$BQ337, Time!Y$28, Inventory!$J65:$BQ65)</f>
        <v>35000</v>
      </c>
      <c r="Z15" s="10">
        <f ca="1" xml:space="preserve"> SUMIF( Time!$J337:$BQ337, Time!Z$28, Inventory!$J65:$BQ65)</f>
        <v>40000</v>
      </c>
      <c r="AA15" s="10">
        <f ca="1" xml:space="preserve"> SUMIF( Time!$J337:$BQ337, Time!AA$28, Inventory!$J65:$BQ65)</f>
        <v>49999.999999999993</v>
      </c>
      <c r="AB15" s="10">
        <f ca="1" xml:space="preserve"> SUMIF( Time!$J337:$BQ337, Time!AB$28, Inventory!$J65:$BQ65)</f>
        <v>60000</v>
      </c>
      <c r="AC15" s="10">
        <f ca="1" xml:space="preserve"> SUMIF( Time!$J337:$BQ337, Time!AC$28, Inventory!$J65:$BQ65)</f>
        <v>70000</v>
      </c>
    </row>
    <row r="16" spans="1:2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Time!$J332:$BQ332, Time!J$28, Inventory!$J54:$BQ54)</f>
        <v>2000</v>
      </c>
      <c r="K16" s="10">
        <f ca="1" xml:space="preserve"> SUMIF( Time!$J332:$BQ332, Time!K$28, Inventory!$J54:$BQ54)</f>
        <v>4000</v>
      </c>
      <c r="L16" s="10">
        <f ca="1" xml:space="preserve"> SUMIF( Time!$J332:$BQ332, Time!L$28, Inventory!$J54:$BQ54)</f>
        <v>10000</v>
      </c>
      <c r="M16" s="10">
        <f ca="1" xml:space="preserve"> SUMIF( Time!$J332:$BQ332, Time!M$28, Inventory!$J54:$BQ54)</f>
        <v>10000</v>
      </c>
      <c r="N16" s="10">
        <f ca="1" xml:space="preserve"> SUMIF( Time!$J332:$BQ332, Time!N$28, Inventory!$J54:$BQ54)</f>
        <v>20000</v>
      </c>
      <c r="O16" s="10">
        <f ca="1" xml:space="preserve"> SUMIF( Time!$J332:$BQ332, Time!O$28, Inventory!$J54:$BQ54)</f>
        <v>10000</v>
      </c>
      <c r="P16" s="10">
        <f ca="1" xml:space="preserve"> SUMIF( Time!$J332:$BQ332, Time!P$28, Inventory!$J54:$BQ54)</f>
        <v>0</v>
      </c>
      <c r="Q16" s="10">
        <f ca="1" xml:space="preserve"> SUMIF( Time!$J332:$BQ332, Time!Q$28, Inventory!$J54:$BQ54)</f>
        <v>10000</v>
      </c>
      <c r="R16" s="10">
        <f ca="1" xml:space="preserve"> SUMIF( Time!$J332:$BQ332, Time!R$28, Inventory!$J54:$BQ54)</f>
        <v>25000</v>
      </c>
      <c r="S16" s="10">
        <f ca="1" xml:space="preserve"> SUMIF( Time!$J332:$BQ332, Time!S$28, Inventory!$J54:$BQ54)</f>
        <v>25000</v>
      </c>
      <c r="T16" s="10">
        <f ca="1" xml:space="preserve"> SUMIF( Time!$J332:$BQ332, Time!T$28, Inventory!$J54:$BQ54)</f>
        <v>35000</v>
      </c>
      <c r="U16" s="10">
        <f ca="1" xml:space="preserve"> SUMIF( Time!$J332:$BQ332, Time!U$28, Inventory!$J54:$BQ54)</f>
        <v>40000</v>
      </c>
      <c r="V16" s="10">
        <f ca="1" xml:space="preserve"> SUMIF( Time!$J332:$BQ332, Time!V$28, Inventory!$J54:$BQ54)</f>
        <v>55000</v>
      </c>
      <c r="W16" s="10">
        <f ca="1" xml:space="preserve"> SUMIF( Time!$J332:$BQ332, Time!W$28, Inventory!$J54:$BQ54)</f>
        <v>65000</v>
      </c>
      <c r="X16" s="10">
        <f ca="1" xml:space="preserve"> SUMIF( Time!$J332:$BQ332, Time!X$28, Inventory!$J54:$BQ54)</f>
        <v>80000</v>
      </c>
      <c r="Y16" s="10">
        <f ca="1" xml:space="preserve"> SUMIF( Time!$J332:$BQ332, Time!Y$28, Inventory!$J54:$BQ54)</f>
        <v>95000</v>
      </c>
      <c r="Z16" s="10">
        <f ca="1" xml:space="preserve"> SUMIF( Time!$J332:$BQ332, Time!Z$28, Inventory!$J54:$BQ54)</f>
        <v>110000</v>
      </c>
      <c r="AA16" s="10">
        <f ca="1" xml:space="preserve"> SUMIF( Time!$J332:$BQ332, Time!AA$28, Inventory!$J54:$BQ54)</f>
        <v>130000</v>
      </c>
      <c r="AB16" s="10">
        <f ca="1" xml:space="preserve"> SUMIF( Time!$J332:$BQ332, Time!AB$28, Inventory!$J54:$BQ54)</f>
        <v>155000</v>
      </c>
      <c r="AC16" s="10">
        <f ca="1" xml:space="preserve"> SUMIF( Time!$J332:$BQ332, Time!AC$28, Inventory!$J54:$BQ54)</f>
        <v>185000</v>
      </c>
    </row>
    <row r="17" spans="5:2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Time!$J337:$BQ337, Time!J$28, Inventory!$J73:$BQ73)</f>
        <v>3500</v>
      </c>
      <c r="K17" s="10">
        <f ca="1" xml:space="preserve"> SUMIF( Time!$J337:$BQ337, Time!K$28, Inventory!$J73:$BQ73)</f>
        <v>7500</v>
      </c>
      <c r="L17" s="10">
        <f ca="1" xml:space="preserve"> SUMIF( Time!$J337:$BQ337, Time!L$28, Inventory!$J73:$BQ73)</f>
        <v>17500</v>
      </c>
      <c r="M17" s="10">
        <f ca="1" xml:space="preserve"> SUMIF( Time!$J337:$BQ337, Time!M$28, Inventory!$J73:$BQ73)</f>
        <v>27500</v>
      </c>
      <c r="N17" s="10">
        <f ca="1" xml:space="preserve"> SUMIF( Time!$J337:$BQ337, Time!N$28, Inventory!$J73:$BQ73)</f>
        <v>47500</v>
      </c>
      <c r="O17" s="10">
        <f ca="1" xml:space="preserve"> SUMIF( Time!$J337:$BQ337, Time!O$28, Inventory!$J73:$BQ73)</f>
        <v>57500</v>
      </c>
      <c r="P17" s="10">
        <f ca="1" xml:space="preserve"> SUMIF( Time!$J337:$BQ337, Time!P$28, Inventory!$J73:$BQ73)</f>
        <v>57500</v>
      </c>
      <c r="Q17" s="10">
        <f ca="1" xml:space="preserve"> SUMIF( Time!$J337:$BQ337, Time!Q$28, Inventory!$J73:$BQ73)</f>
        <v>67500</v>
      </c>
      <c r="R17" s="10">
        <f ca="1" xml:space="preserve"> SUMIF( Time!$J337:$BQ337, Time!R$28, Inventory!$J73:$BQ73)</f>
        <v>89500</v>
      </c>
      <c r="S17" s="10">
        <f ca="1" xml:space="preserve"> SUMIF( Time!$J337:$BQ337, Time!S$28, Inventory!$J73:$BQ73)</f>
        <v>107500</v>
      </c>
      <c r="T17" s="10">
        <f ca="1" xml:space="preserve"> SUMIF( Time!$J337:$BQ337, Time!T$28, Inventory!$J73:$BQ73)</f>
        <v>129500</v>
      </c>
      <c r="U17" s="10">
        <f ca="1" xml:space="preserve"> SUMIF( Time!$J337:$BQ337, Time!U$28, Inventory!$J73:$BQ73)</f>
        <v>154500</v>
      </c>
      <c r="V17" s="10">
        <f ca="1" xml:space="preserve"> SUMIF( Time!$J337:$BQ337, Time!V$28, Inventory!$J73:$BQ73)</f>
        <v>192644.33871164307</v>
      </c>
      <c r="W17" s="10">
        <f ca="1" xml:space="preserve"> SUMIF( Time!$J337:$BQ337, Time!W$28, Inventory!$J73:$BQ73)</f>
        <v>237599.46637945305</v>
      </c>
      <c r="X17" s="10">
        <f ca="1" xml:space="preserve"> SUMIF( Time!$J337:$BQ337, Time!X$28, Inventory!$J73:$BQ73)</f>
        <v>293761.96158269153</v>
      </c>
      <c r="Y17" s="10">
        <f ca="1" xml:space="preserve"> SUMIF( Time!$J337:$BQ337, Time!Y$28, Inventory!$J73:$BQ73)</f>
        <v>360414.23127447121</v>
      </c>
      <c r="Z17" s="10">
        <f ca="1" xml:space="preserve"> SUMIF( Time!$J337:$BQ337, Time!Z$28, Inventory!$J73:$BQ73)</f>
        <v>434002.90869775735</v>
      </c>
      <c r="AA17" s="10">
        <f ca="1" xml:space="preserve"> SUMIF( Time!$J337:$BQ337, Time!AA$28, Inventory!$J73:$BQ73)</f>
        <v>517613.16403337731</v>
      </c>
      <c r="AB17" s="10">
        <f ca="1" xml:space="preserve"> SUMIF( Time!$J337:$BQ337, Time!AB$28, Inventory!$J73:$BQ73)</f>
        <v>613238.1544398542</v>
      </c>
      <c r="AC17" s="10">
        <f ca="1" xml:space="preserve"> SUMIF( Time!$J337:$BQ337, Time!AC$28, Inventory!$J73:$BQ73)</f>
        <v>728042.69382341357</v>
      </c>
    </row>
    <row r="18" spans="5:2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Time!$J332:$BQ332, Time!J$28, Inventory!$J77:$BQ77)</f>
        <v>0</v>
      </c>
      <c r="K18" s="10">
        <f ca="1" xml:space="preserve"> SUMIF( Time!$J332:$BQ332, Time!K$28, Inventory!$J77:$BQ77)</f>
        <v>0</v>
      </c>
      <c r="L18" s="10">
        <f ca="1" xml:space="preserve"> SUMIF( Time!$J332:$BQ332, Time!L$28, Inventory!$J77:$BQ77)</f>
        <v>0</v>
      </c>
      <c r="M18" s="10">
        <f ca="1" xml:space="preserve"> SUMIF( Time!$J332:$BQ332, Time!M$28, Inventory!$J77:$BQ77)</f>
        <v>0</v>
      </c>
      <c r="N18" s="10">
        <f ca="1" xml:space="preserve"> SUMIF( Time!$J332:$BQ332, Time!N$28, Inventory!$J77:$BQ77)</f>
        <v>0</v>
      </c>
      <c r="O18" s="10">
        <f ca="1" xml:space="preserve"> SUMIF( Time!$J332:$BQ332, Time!O$28, Inventory!$J77:$BQ77)</f>
        <v>0</v>
      </c>
      <c r="P18" s="10">
        <f ca="1" xml:space="preserve"> SUMIF( Time!$J332:$BQ332, Time!P$28, Inventory!$J77:$BQ77)</f>
        <v>0</v>
      </c>
      <c r="Q18" s="10">
        <f ca="1" xml:space="preserve"> SUMIF( Time!$J332:$BQ332, Time!Q$28, Inventory!$J77:$BQ77)</f>
        <v>0</v>
      </c>
      <c r="R18" s="10">
        <f ca="1" xml:space="preserve"> SUMIF( Time!$J332:$BQ332, Time!R$28, Inventory!$J77:$BQ77)</f>
        <v>3000</v>
      </c>
      <c r="S18" s="10">
        <f ca="1" xml:space="preserve"> SUMIF( Time!$J332:$BQ332, Time!S$28, Inventory!$J77:$BQ77)</f>
        <v>7000</v>
      </c>
      <c r="T18" s="10">
        <f ca="1" xml:space="preserve"> SUMIF( Time!$J332:$BQ332, Time!T$28, Inventory!$J77:$BQ77)</f>
        <v>13000</v>
      </c>
      <c r="U18" s="10">
        <f ca="1" xml:space="preserve"> SUMIF( Time!$J332:$BQ332, Time!U$28, Inventory!$J77:$BQ77)</f>
        <v>15000</v>
      </c>
      <c r="V18" s="10">
        <f ca="1" xml:space="preserve"> SUMIF( Time!$J332:$BQ332, Time!V$28, Inventory!$J77:$BQ77)</f>
        <v>16855.661288356947</v>
      </c>
      <c r="W18" s="10">
        <f ca="1" xml:space="preserve"> SUMIF( Time!$J332:$BQ332, Time!W$28, Inventory!$J77:$BQ77)</f>
        <v>20044.872332190011</v>
      </c>
      <c r="X18" s="10">
        <f ca="1" xml:space="preserve"> SUMIF( Time!$J332:$BQ332, Time!X$28, Inventory!$J77:$BQ77)</f>
        <v>23837.504796761554</v>
      </c>
      <c r="Y18" s="10">
        <f ca="1" xml:space="preserve"> SUMIF( Time!$J332:$BQ332, Time!Y$28, Inventory!$J77:$BQ77)</f>
        <v>28347.730308220329</v>
      </c>
      <c r="Z18" s="10">
        <f ca="1" xml:space="preserve"> SUMIF( Time!$J332:$BQ332, Time!Z$28, Inventory!$J77:$BQ77)</f>
        <v>36411.322576713901</v>
      </c>
      <c r="AA18" s="10">
        <f ca="1" xml:space="preserve"> SUMIF( Time!$J332:$BQ332, Time!AA$28, Inventory!$J77:$BQ77)</f>
        <v>46389.744664380043</v>
      </c>
      <c r="AB18" s="10">
        <f ca="1" xml:space="preserve"> SUMIF( Time!$J332:$BQ332, Time!AB$28, Inventory!$J77:$BQ77)</f>
        <v>59375.009593523122</v>
      </c>
      <c r="AC18" s="10">
        <f ca="1" xml:space="preserve"> SUMIF( Time!$J332:$BQ332, Time!AC$28, Inventory!$J77:$BQ77)</f>
        <v>70195.460616440687</v>
      </c>
    </row>
    <row r="19" spans="5:2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Time!$J337:$BQ337, Time!J$28, Inventory!$J85:$BQ85)</f>
        <v>0</v>
      </c>
      <c r="K19" s="10">
        <f ca="1" xml:space="preserve"> SUMIF( Time!$J337:$BQ337, Time!K$28, Inventory!$J85:$BQ85)</f>
        <v>0</v>
      </c>
      <c r="L19" s="10">
        <f ca="1" xml:space="preserve"> SUMIF( Time!$J337:$BQ337, Time!L$28, Inventory!$J85:$BQ85)</f>
        <v>0</v>
      </c>
      <c r="M19" s="10">
        <f ca="1" xml:space="preserve"> SUMIF( Time!$J337:$BQ337, Time!M$28, Inventory!$J85:$BQ85)</f>
        <v>0</v>
      </c>
      <c r="N19" s="10">
        <f ca="1" xml:space="preserve"> SUMIF( Time!$J337:$BQ337, Time!N$28, Inventory!$J85:$BQ85)</f>
        <v>0</v>
      </c>
      <c r="O19" s="10">
        <f ca="1" xml:space="preserve"> SUMIF( Time!$J337:$BQ337, Time!O$28, Inventory!$J85:$BQ85)</f>
        <v>0</v>
      </c>
      <c r="P19" s="10">
        <f ca="1" xml:space="preserve"> SUMIF( Time!$J337:$BQ337, Time!P$28, Inventory!$J85:$BQ85)</f>
        <v>0</v>
      </c>
      <c r="Q19" s="10">
        <f ca="1" xml:space="preserve"> SUMIF( Time!$J337:$BQ337, Time!Q$28, Inventory!$J85:$BQ85)</f>
        <v>0</v>
      </c>
      <c r="R19" s="10">
        <f ca="1" xml:space="preserve"> SUMIF( Time!$J337:$BQ337, Time!R$28, Inventory!$J85:$BQ85)</f>
        <v>3000</v>
      </c>
      <c r="S19" s="10">
        <f ca="1" xml:space="preserve"> SUMIF( Time!$J337:$BQ337, Time!S$28, Inventory!$J85:$BQ85)</f>
        <v>10000</v>
      </c>
      <c r="T19" s="10">
        <f ca="1" xml:space="preserve"> SUMIF( Time!$J337:$BQ337, Time!T$28, Inventory!$J85:$BQ85)</f>
        <v>23000</v>
      </c>
      <c r="U19" s="10">
        <f ca="1" xml:space="preserve"> SUMIF( Time!$J337:$BQ337, Time!U$28, Inventory!$J85:$BQ85)</f>
        <v>38000</v>
      </c>
      <c r="V19" s="10">
        <f ca="1" xml:space="preserve"> SUMIF( Time!$J337:$BQ337, Time!V$28, Inventory!$J85:$BQ85)</f>
        <v>54855.661288356954</v>
      </c>
      <c r="W19" s="10">
        <f ca="1" xml:space="preserve"> SUMIF( Time!$J337:$BQ337, Time!W$28, Inventory!$J85:$BQ85)</f>
        <v>74900.533620546965</v>
      </c>
      <c r="X19" s="10">
        <f ca="1" xml:space="preserve"> SUMIF( Time!$J337:$BQ337, Time!X$28, Inventory!$J85:$BQ85)</f>
        <v>98738.038417308504</v>
      </c>
      <c r="Y19" s="10">
        <f ca="1" xml:space="preserve"> SUMIF( Time!$J337:$BQ337, Time!Y$28, Inventory!$J85:$BQ85)</f>
        <v>127085.76872552883</v>
      </c>
      <c r="Z19" s="10">
        <f ca="1" xml:space="preserve"> SUMIF( Time!$J337:$BQ337, Time!Z$28, Inventory!$J85:$BQ85)</f>
        <v>163497.09130224271</v>
      </c>
      <c r="AA19" s="10">
        <f ca="1" xml:space="preserve"> SUMIF( Time!$J337:$BQ337, Time!AA$28, Inventory!$J85:$BQ85)</f>
        <v>209886.83596662275</v>
      </c>
      <c r="AB19" s="10">
        <f ca="1" xml:space="preserve"> SUMIF( Time!$J337:$BQ337, Time!AB$28, Inventory!$J85:$BQ85)</f>
        <v>269261.84556014586</v>
      </c>
      <c r="AC19" s="10">
        <f ca="1" xml:space="preserve"> SUMIF( Time!$J337:$BQ337, Time!AC$28, Inventory!$J85:$BQ85)</f>
        <v>339457.30617658654</v>
      </c>
    </row>
  </sheetData>
  <conditionalFormatting sqref="F3">
    <cfRule type="cellIs" dxfId="52" priority="8" stopIfTrue="1" operator="notEqual">
      <formula>0</formula>
    </cfRule>
    <cfRule type="cellIs" dxfId="51" priority="9" stopIfTrue="1" operator="equal">
      <formula>""</formula>
    </cfRule>
  </conditionalFormatting>
  <conditionalFormatting sqref="J3:AC3">
    <cfRule type="cellIs" dxfId="50" priority="6" stopIfTrue="1" operator="equal">
      <formula>"Construction"</formula>
    </cfRule>
    <cfRule type="cellIs" dxfId="49" priority="7" stopIfTrue="1" operator="equal">
      <formula>"Operations"</formula>
    </cfRule>
  </conditionalFormatting>
  <conditionalFormatting sqref="J3:AC3">
    <cfRule type="cellIs" dxfId="48" priority="5" operator="equal">
      <formula>"Fin Close"</formula>
    </cfRule>
  </conditionalFormatting>
  <conditionalFormatting sqref="J3:AC3">
    <cfRule type="cellIs" dxfId="47" priority="3" operator="equal">
      <formula>"PPA ext."</formula>
    </cfRule>
    <cfRule type="cellIs" dxfId="46" priority="4" operator="equal">
      <formula>"Delay"</formula>
    </cfRule>
  </conditionalFormatting>
  <conditionalFormatting sqref="F2">
    <cfRule type="cellIs" dxfId="45" priority="1" stopIfTrue="1" operator="notEqual">
      <formula>0</formula>
    </cfRule>
    <cfRule type="cellIs" dxfId="44"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4F81BD"/>
    <outlinePr summaryBelow="0" summaryRight="0"/>
  </sheetPr>
  <dimension ref="A1:S1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38.6640625" bestFit="1" customWidth="1"/>
    <col min="6" max="6" width="20.5546875" bestFit="1" customWidth="1"/>
    <col min="7" max="7" width="13.21875" bestFit="1" customWidth="1"/>
    <col min="8" max="8" width="11.7773437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Inventory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Customers!E$14</f>
        <v>New customer orders</v>
      </c>
      <c r="F8" s="17">
        <f xml:space="preserve"> Customers!F$14</f>
        <v>0</v>
      </c>
      <c r="G8" s="17" t="str">
        <f xml:space="preserve"> Customers!G$14</f>
        <v>Units</v>
      </c>
      <c r="H8" s="44">
        <f xml:space="preserve"> Customers!H$14</f>
        <v>1374286.5308829343</v>
      </c>
      <c r="I8" s="17">
        <f xml:space="preserve"> Customers!I$14</f>
        <v>0</v>
      </c>
      <c r="J8" s="10">
        <f xml:space="preserve"> SUMIF( Time!$J347:$BQ347, Time!J$28, Customers!$J14:$BQ14)</f>
        <v>10000</v>
      </c>
      <c r="K8" s="10">
        <f xml:space="preserve"> SUMIF( Time!$J347:$BQ347, Time!K$28, Customers!$J14:$BQ14)</f>
        <v>28000</v>
      </c>
      <c r="L8" s="10">
        <f xml:space="preserve"> SUMIF( Time!$J347:$BQ347, Time!L$28, Customers!$J14:$BQ14)</f>
        <v>36900.533620546958</v>
      </c>
      <c r="M8" s="10">
        <f xml:space="preserve"> SUMIF( Time!$J347:$BQ347, Time!M$28, Customers!$J14:$BQ14)</f>
        <v>52185.235104981883</v>
      </c>
      <c r="N8" s="10">
        <f xml:space="preserve"> SUMIF( Time!$J347:$BQ347, Time!N$28, Customers!$J14:$BQ14)</f>
        <v>73801.067241093944</v>
      </c>
      <c r="O8" s="10">
        <f xml:space="preserve"> SUMIF( Time!$J347:$BQ347, Time!O$28, Customers!$J14:$BQ14)</f>
        <v>104370.47020996381</v>
      </c>
      <c r="P8" s="10">
        <f xml:space="preserve"> SUMIF( Time!$J347:$BQ347, Time!P$28, Customers!$J14:$BQ14)</f>
        <v>147602.13448218798</v>
      </c>
      <c r="Q8" s="10">
        <f xml:space="preserve"> SUMIF( Time!$J347:$BQ347, Time!Q$28, Customers!$J14:$BQ14)</f>
        <v>208740.94041992776</v>
      </c>
      <c r="R8" s="10">
        <f xml:space="preserve"> SUMIF( Time!$J347:$BQ347, Time!R$28, Customers!$J14:$BQ14)</f>
        <v>295204.26896437613</v>
      </c>
      <c r="S8" s="10">
        <f xml:space="preserve"> SUMIF( Time!$J347:$BQ347, Time!S$28, Customers!$J14:$BQ14)</f>
        <v>417481.88083985576</v>
      </c>
    </row>
    <row r="9" spans="1:19">
      <c r="E9" s="17" t="str">
        <f xml:space="preserve"> Customers!E$35</f>
        <v>Renewing Customer Orders</v>
      </c>
      <c r="F9" s="17">
        <f xml:space="preserve"> Customers!F$35</f>
        <v>0</v>
      </c>
      <c r="G9" s="17" t="str">
        <f xml:space="preserve"> Customers!G$35</f>
        <v>Units</v>
      </c>
      <c r="H9" s="44">
        <f ca="1" xml:space="preserve"> Customers!H$35</f>
        <v>274731.57555892796</v>
      </c>
      <c r="I9" s="17">
        <f xml:space="preserve"> Customers!I$35</f>
        <v>0</v>
      </c>
      <c r="J9" s="10">
        <f ca="1" xml:space="preserve"> SUMIF( Time!$J347:$BQ347, Time!J$28, Customers!$J35:$BQ35)</f>
        <v>0</v>
      </c>
      <c r="K9" s="10">
        <f ca="1" xml:space="preserve"> SUMIF( Time!$J347:$BQ347, Time!K$28, Customers!$J35:$BQ35)</f>
        <v>0</v>
      </c>
      <c r="L9" s="10">
        <f ca="1" xml:space="preserve"> SUMIF( Time!$J347:$BQ347, Time!L$28, Customers!$J35:$BQ35)</f>
        <v>0</v>
      </c>
      <c r="M9" s="10">
        <f ca="1" xml:space="preserve"> SUMIF( Time!$J347:$BQ347, Time!M$28, Customers!$J35:$BQ35)</f>
        <v>0</v>
      </c>
      <c r="N9" s="10">
        <f ca="1" xml:space="preserve"> SUMIF( Time!$J347:$BQ347, Time!N$28, Customers!$J35:$BQ35)</f>
        <v>9000</v>
      </c>
      <c r="O9" s="10">
        <f ca="1" xml:space="preserve"> SUMIF( Time!$J347:$BQ347, Time!O$28, Customers!$J35:$BQ35)</f>
        <v>25200</v>
      </c>
      <c r="P9" s="10">
        <f ca="1" xml:space="preserve"> SUMIF( Time!$J347:$BQ347, Time!P$28, Customers!$J35:$BQ35)</f>
        <v>33210.480258492258</v>
      </c>
      <c r="Q9" s="10">
        <f ca="1" xml:space="preserve"> SUMIF( Time!$J347:$BQ347, Time!Q$28, Customers!$J35:$BQ35)</f>
        <v>46966.711594483699</v>
      </c>
      <c r="R9" s="10">
        <f ca="1" xml:space="preserve"> SUMIF( Time!$J347:$BQ347, Time!R$28, Customers!$J35:$BQ35)</f>
        <v>66420.960516984545</v>
      </c>
      <c r="S9" s="10">
        <f ca="1" xml:space="preserve"> SUMIF( Time!$J347:$BQ347, Time!S$28, Customers!$J35:$BQ35)</f>
        <v>93933.423188967441</v>
      </c>
    </row>
    <row r="10" spans="1:19">
      <c r="E10" s="17" t="str">
        <f xml:space="preserve"> Customers!E$24</f>
        <v>Customer Orders Awaiting Fullfilment</v>
      </c>
      <c r="F10" s="17">
        <f xml:space="preserve"> Customers!F$24</f>
        <v>0</v>
      </c>
      <c r="G10" s="17" t="str">
        <f xml:space="preserve"> Customers!G$24</f>
        <v>Units</v>
      </c>
      <c r="H10" s="44">
        <f xml:space="preserve"> Customers!H$24</f>
        <v>0</v>
      </c>
      <c r="I10" s="17">
        <f xml:space="preserve"> Customers!I$24</f>
        <v>0</v>
      </c>
      <c r="J10" s="10">
        <f ca="1" xml:space="preserve"> SUMIF( Time!$J352:$BQ352, Time!J$28, Customers!$J24:$BQ24)</f>
        <v>4000</v>
      </c>
      <c r="K10" s="10">
        <f ca="1" xml:space="preserve"> SUMIF( Time!$J352:$BQ352, Time!K$28, Customers!$J24:$BQ24)</f>
        <v>12000</v>
      </c>
      <c r="L10" s="10">
        <f ca="1" xml:space="preserve"> SUMIF( Time!$J352:$BQ352, Time!L$28, Customers!$J24:$BQ24)</f>
        <v>18900.533620546954</v>
      </c>
      <c r="M10" s="10">
        <f ca="1" xml:space="preserve"> SUMIF( Time!$J352:$BQ352, Time!M$28, Customers!$J24:$BQ24)</f>
        <v>61085.768725528847</v>
      </c>
      <c r="N10" s="10">
        <f ca="1" xml:space="preserve"> SUMIF( Time!$J352:$BQ352, Time!N$28, Customers!$J24:$BQ24)</f>
        <v>93886.835966622806</v>
      </c>
      <c r="O10" s="10">
        <f ca="1" xml:space="preserve"> SUMIF( Time!$J352:$BQ352, Time!O$28, Customers!$J24:$BQ24)</f>
        <v>148457.3061765866</v>
      </c>
      <c r="P10" s="10">
        <f ca="1" xml:space="preserve"> SUMIF( Time!$J352:$BQ352, Time!P$28, Customers!$J24:$BQ24)</f>
        <v>209269.92091726681</v>
      </c>
      <c r="Q10" s="10">
        <f ca="1" xml:space="preserve"> SUMIF( Time!$J352:$BQ352, Time!Q$28, Customers!$J24:$BQ24)</f>
        <v>289977.57293167821</v>
      </c>
      <c r="R10" s="10">
        <f ca="1" xml:space="preserve"> SUMIF( Time!$J352:$BQ352, Time!R$28, Customers!$J24:$BQ24)</f>
        <v>411602.80241303897</v>
      </c>
      <c r="S10" s="10">
        <f ca="1" xml:space="preserve"> SUMIF( Time!$J352:$BQ352, Time!S$28, Customers!$J24:$BQ24)</f>
        <v>583018.10644186207</v>
      </c>
    </row>
    <row r="11" spans="1:19">
      <c r="E11" s="17" t="str">
        <f xml:space="preserve"> Inventory!E$33</f>
        <v>Units ordered</v>
      </c>
      <c r="F11" s="17">
        <f xml:space="preserve"> Inventory!F$33</f>
        <v>0</v>
      </c>
      <c r="G11" s="17" t="str">
        <f xml:space="preserve"> Inventory!G$33</f>
        <v>Units</v>
      </c>
      <c r="H11" s="44">
        <f ca="1" xml:space="preserve"> Inventory!H$33</f>
        <v>1640000</v>
      </c>
      <c r="I11" s="17">
        <f xml:space="preserve"> Inventory!I$33</f>
        <v>0</v>
      </c>
      <c r="J11" s="10">
        <f xml:space="preserve"> SUMIF( Time!$J347:$BQ347, Time!J$28, Inventory!$J33:$BQ33)</f>
        <v>30000</v>
      </c>
      <c r="K11" s="10">
        <f xml:space="preserve"> SUMIF( Time!$J347:$BQ347, Time!K$28, Inventory!$J33:$BQ33)</f>
        <v>20000</v>
      </c>
      <c r="L11" s="10">
        <f ca="1" xml:space="preserve"> SUMIF( Time!$J347:$BQ347, Time!L$28, Inventory!$J33:$BQ33)</f>
        <v>15000</v>
      </c>
      <c r="M11" s="10">
        <f ca="1" xml:space="preserve"> SUMIF( Time!$J347:$BQ347, Time!M$28, Inventory!$J33:$BQ33)</f>
        <v>55000</v>
      </c>
      <c r="N11" s="10">
        <f ca="1" xml:space="preserve"> SUMIF( Time!$J347:$BQ347, Time!N$28, Inventory!$J33:$BQ33)</f>
        <v>80000</v>
      </c>
      <c r="O11" s="10">
        <f ca="1" xml:space="preserve"> SUMIF( Time!$J347:$BQ347, Time!O$28, Inventory!$J33:$BQ33)</f>
        <v>130000</v>
      </c>
      <c r="P11" s="10">
        <f ca="1" xml:space="preserve"> SUMIF( Time!$J347:$BQ347, Time!P$28, Inventory!$J33:$BQ33)</f>
        <v>185000</v>
      </c>
      <c r="Q11" s="10">
        <f ca="1" xml:space="preserve"> SUMIF( Time!$J347:$BQ347, Time!Q$28, Inventory!$J33:$BQ33)</f>
        <v>255000</v>
      </c>
      <c r="R11" s="10">
        <f ca="1" xml:space="preserve"> SUMIF( Time!$J347:$BQ347, Time!R$28, Inventory!$J33:$BQ33)</f>
        <v>360000</v>
      </c>
      <c r="S11" s="10">
        <f ca="1" xml:space="preserve"> SUMIF( Time!$J347:$BQ347, Time!S$28, Inventory!$J33:$BQ33)</f>
        <v>510000</v>
      </c>
    </row>
    <row r="12" spans="1:19">
      <c r="E12" s="17" t="str">
        <f xml:space="preserve"> Inventory!E$50</f>
        <v>Units on order</v>
      </c>
      <c r="F12" s="17">
        <f xml:space="preserve"> Inventory!F$50</f>
        <v>0</v>
      </c>
      <c r="G12" s="17" t="str">
        <f xml:space="preserve"> Inventory!G$50</f>
        <v>Units</v>
      </c>
      <c r="H12" s="44">
        <f xml:space="preserve"> Inventory!H$50</f>
        <v>0</v>
      </c>
      <c r="I12" s="17">
        <f xml:space="preserve"> Inventory!I$50</f>
        <v>5000</v>
      </c>
      <c r="J12" s="10">
        <f ca="1" xml:space="preserve"> SUMIF( Time!$J352:$BQ352, Time!J$28, Inventory!$J50:$BQ50)</f>
        <v>20000</v>
      </c>
      <c r="K12" s="10">
        <f ca="1" xml:space="preserve"> SUMIF( Time!$J352:$BQ352, Time!K$28, Inventory!$J50:$BQ50)</f>
        <v>20000</v>
      </c>
      <c r="L12" s="10">
        <f ca="1" xml:space="preserve"> SUMIF( Time!$J352:$BQ352, Time!L$28, Inventory!$J50:$BQ50)</f>
        <v>15000</v>
      </c>
      <c r="M12" s="10">
        <f ca="1" xml:space="preserve"> SUMIF( Time!$J352:$BQ352, Time!M$28, Inventory!$J50:$BQ50)</f>
        <v>55000</v>
      </c>
      <c r="N12" s="10">
        <f ca="1" xml:space="preserve"> SUMIF( Time!$J352:$BQ352, Time!N$28, Inventory!$J50:$BQ50)</f>
        <v>80000</v>
      </c>
      <c r="O12" s="10">
        <f ca="1" xml:space="preserve"> SUMIF( Time!$J352:$BQ352, Time!O$28, Inventory!$J50:$BQ50)</f>
        <v>130000</v>
      </c>
      <c r="P12" s="10">
        <f ca="1" xml:space="preserve"> SUMIF( Time!$J352:$BQ352, Time!P$28, Inventory!$J50:$BQ50)</f>
        <v>185000</v>
      </c>
      <c r="Q12" s="10">
        <f ca="1" xml:space="preserve"> SUMIF( Time!$J352:$BQ352, Time!Q$28, Inventory!$J50:$BQ50)</f>
        <v>255000</v>
      </c>
      <c r="R12" s="10">
        <f ca="1" xml:space="preserve"> SUMIF( Time!$J352:$BQ352, Time!R$28, Inventory!$J50:$BQ50)</f>
        <v>360000</v>
      </c>
      <c r="S12" s="10">
        <f ca="1" xml:space="preserve"> SUMIF( Time!$J352:$BQ352, Time!S$28, Inventory!$J50:$BQ50)</f>
        <v>510000</v>
      </c>
    </row>
    <row r="13" spans="1:19">
      <c r="E13" s="17" t="str">
        <f xml:space="preserve"> Inventory!E$41</f>
        <v>Units delivered</v>
      </c>
      <c r="F13" s="17">
        <f xml:space="preserve"> Inventory!F$41</f>
        <v>0</v>
      </c>
      <c r="G13" s="17" t="str">
        <f xml:space="preserve"> Inventory!G$41</f>
        <v>Units</v>
      </c>
      <c r="H13" s="44">
        <f ca="1" xml:space="preserve"> Inventory!H$41</f>
        <v>1135000</v>
      </c>
      <c r="I13" s="17">
        <f xml:space="preserve"> Inventory!I$41</f>
        <v>0</v>
      </c>
      <c r="J13" s="10">
        <f ca="1" xml:space="preserve"> SUMIF( Time!$J347:$BQ347, Time!J$28, Inventory!$J41:$BQ41)</f>
        <v>15000</v>
      </c>
      <c r="K13" s="10">
        <f ca="1" xml:space="preserve"> SUMIF( Time!$J347:$BQ347, Time!K$28, Inventory!$J41:$BQ41)</f>
        <v>20000</v>
      </c>
      <c r="L13" s="10">
        <f ca="1" xml:space="preserve"> SUMIF( Time!$J347:$BQ347, Time!L$28, Inventory!$J41:$BQ41)</f>
        <v>20000</v>
      </c>
      <c r="M13" s="10">
        <f ca="1" xml:space="preserve"> SUMIF( Time!$J347:$BQ347, Time!M$28, Inventory!$J41:$BQ41)</f>
        <v>15000</v>
      </c>
      <c r="N13" s="10">
        <f ca="1" xml:space="preserve"> SUMIF( Time!$J347:$BQ347, Time!N$28, Inventory!$J41:$BQ41)</f>
        <v>55000</v>
      </c>
      <c r="O13" s="10">
        <f ca="1" xml:space="preserve"> SUMIF( Time!$J347:$BQ347, Time!O$28, Inventory!$J41:$BQ41)</f>
        <v>80000</v>
      </c>
      <c r="P13" s="10">
        <f ca="1" xml:space="preserve"> SUMIF( Time!$J347:$BQ347, Time!P$28, Inventory!$J41:$BQ41)</f>
        <v>130000</v>
      </c>
      <c r="Q13" s="10">
        <f ca="1" xml:space="preserve"> SUMIF( Time!$J347:$BQ347, Time!Q$28, Inventory!$J41:$BQ41)</f>
        <v>185000</v>
      </c>
      <c r="R13" s="10">
        <f ca="1" xml:space="preserve"> SUMIF( Time!$J347:$BQ347, Time!R$28, Inventory!$J41:$BQ41)</f>
        <v>255000</v>
      </c>
      <c r="S13" s="10">
        <f ca="1" xml:space="preserve"> SUMIF( Time!$J347:$BQ347, Time!S$28, Inventory!$J41:$BQ41)</f>
        <v>360000</v>
      </c>
    </row>
    <row r="14" spans="1:19">
      <c r="E14" s="17" t="str">
        <f xml:space="preserve"> Inventory!E$18</f>
        <v>Deployed units returned</v>
      </c>
      <c r="F14" s="17">
        <f xml:space="preserve"> Inventory!F$18</f>
        <v>0</v>
      </c>
      <c r="G14" s="17" t="str">
        <f xml:space="preserve"> Inventory!G$18</f>
        <v>Units</v>
      </c>
      <c r="H14" s="44">
        <f ca="1" xml:space="preserve"> Inventory!H$18</f>
        <v>339457.30617658654</v>
      </c>
      <c r="I14" s="17">
        <f xml:space="preserve"> Inventory!I$18</f>
        <v>0</v>
      </c>
      <c r="J14" s="10">
        <f ca="1" xml:space="preserve"> SUMIF( Time!$J347:$BQ347, Time!J$28, Inventory!$J18:$BQ18)</f>
        <v>0</v>
      </c>
      <c r="K14" s="10">
        <f ca="1" xml:space="preserve"> SUMIF( Time!$J347:$BQ347, Time!K$28, Inventory!$J18:$BQ18)</f>
        <v>0</v>
      </c>
      <c r="L14" s="10">
        <f ca="1" xml:space="preserve"> SUMIF( Time!$J347:$BQ347, Time!L$28, Inventory!$J18:$BQ18)</f>
        <v>0</v>
      </c>
      <c r="M14" s="10">
        <f ca="1" xml:space="preserve"> SUMIF( Time!$J347:$BQ347, Time!M$28, Inventory!$J18:$BQ18)</f>
        <v>0</v>
      </c>
      <c r="N14" s="10">
        <f ca="1" xml:space="preserve"> SUMIF( Time!$J347:$BQ347, Time!N$28, Inventory!$J18:$BQ18)</f>
        <v>10000</v>
      </c>
      <c r="O14" s="10">
        <f ca="1" xml:space="preserve"> SUMIF( Time!$J347:$BQ347, Time!O$28, Inventory!$J18:$BQ18)</f>
        <v>28000</v>
      </c>
      <c r="P14" s="10">
        <f ca="1" xml:space="preserve"> SUMIF( Time!$J347:$BQ347, Time!P$28, Inventory!$J18:$BQ18)</f>
        <v>36900.533620546958</v>
      </c>
      <c r="Q14" s="10">
        <f ca="1" xml:space="preserve"> SUMIF( Time!$J347:$BQ347, Time!Q$28, Inventory!$J18:$BQ18)</f>
        <v>52185.235104981883</v>
      </c>
      <c r="R14" s="10">
        <f ca="1" xml:space="preserve"> SUMIF( Time!$J347:$BQ347, Time!R$28, Inventory!$J18:$BQ18)</f>
        <v>82801.06724109393</v>
      </c>
      <c r="S14" s="10">
        <f ca="1" xml:space="preserve"> SUMIF( Time!$J347:$BQ347, Time!S$28, Inventory!$J18:$BQ18)</f>
        <v>129570.47020996381</v>
      </c>
    </row>
    <row r="15" spans="1:19">
      <c r="E15" s="17" t="str">
        <f xml:space="preserve"> Inventory!E$65</f>
        <v>Units in stock</v>
      </c>
      <c r="F15" s="17">
        <f xml:space="preserve"> Inventory!F$65</f>
        <v>0</v>
      </c>
      <c r="G15" s="17" t="str">
        <f xml:space="preserve"> Inventory!G$65</f>
        <v>Units</v>
      </c>
      <c r="H15" s="44">
        <f xml:space="preserve"> Inventory!H$65</f>
        <v>0</v>
      </c>
      <c r="I15" s="17">
        <f xml:space="preserve"> Inventory!I$65</f>
        <v>1000</v>
      </c>
      <c r="J15" s="10">
        <f ca="1" xml:space="preserve"> SUMIF( Time!$J352:$BQ352, Time!J$28, Inventory!$J65:$BQ65)</f>
        <v>10000</v>
      </c>
      <c r="K15" s="10">
        <f ca="1" xml:space="preserve"> SUMIF( Time!$J352:$BQ352, Time!K$28, Inventory!$J65:$BQ65)</f>
        <v>10000</v>
      </c>
      <c r="L15" s="10">
        <f ca="1" xml:space="preserve"> SUMIF( Time!$J352:$BQ352, Time!L$28, Inventory!$J65:$BQ65)</f>
        <v>0</v>
      </c>
      <c r="M15" s="10">
        <f ca="1" xml:space="preserve"> SUMIF( Time!$J352:$BQ352, Time!M$28, Inventory!$J65:$BQ65)</f>
        <v>5000</v>
      </c>
      <c r="N15" s="10">
        <f ca="1" xml:space="preserve"> SUMIF( Time!$J352:$BQ352, Time!N$28, Inventory!$J65:$BQ65)</f>
        <v>10000</v>
      </c>
      <c r="O15" s="10">
        <f ca="1" xml:space="preserve"> SUMIF( Time!$J352:$BQ352, Time!O$28, Inventory!$J65:$BQ65)</f>
        <v>15000</v>
      </c>
      <c r="P15" s="10">
        <f ca="1" xml:space="preserve"> SUMIF( Time!$J352:$BQ352, Time!P$28, Inventory!$J65:$BQ65)</f>
        <v>25000</v>
      </c>
      <c r="Q15" s="10">
        <f ca="1" xml:space="preserve"> SUMIF( Time!$J352:$BQ352, Time!Q$28, Inventory!$J65:$BQ65)</f>
        <v>35000</v>
      </c>
      <c r="R15" s="10">
        <f ca="1" xml:space="preserve"> SUMIF( Time!$J352:$BQ352, Time!R$28, Inventory!$J65:$BQ65)</f>
        <v>49999.999999999993</v>
      </c>
      <c r="S15" s="10">
        <f ca="1" xml:space="preserve"> SUMIF( Time!$J352:$BQ352, Time!S$28, Inventory!$J65:$BQ65)</f>
        <v>70000</v>
      </c>
    </row>
    <row r="16" spans="1:19">
      <c r="E16" s="17" t="str">
        <f xml:space="preserve"> Inventory!E$54</f>
        <v>Units deployed</v>
      </c>
      <c r="F16" s="17">
        <f xml:space="preserve"> Inventory!F$54</f>
        <v>0</v>
      </c>
      <c r="G16" s="17" t="str">
        <f xml:space="preserve"> Inventory!G$54</f>
        <v>Units</v>
      </c>
      <c r="H16" s="44">
        <f ca="1" xml:space="preserve"> Inventory!H$54</f>
        <v>1066000</v>
      </c>
      <c r="I16" s="17">
        <f xml:space="preserve"> Inventory!I$54</f>
        <v>0</v>
      </c>
      <c r="J16" s="10">
        <f ca="1" xml:space="preserve"> SUMIF( Time!$J347:$BQ347, Time!J$28, Inventory!$J54:$BQ54)</f>
        <v>6000</v>
      </c>
      <c r="K16" s="10">
        <f ca="1" xml:space="preserve"> SUMIF( Time!$J347:$BQ347, Time!K$28, Inventory!$J54:$BQ54)</f>
        <v>20000</v>
      </c>
      <c r="L16" s="10">
        <f ca="1" xml:space="preserve"> SUMIF( Time!$J347:$BQ347, Time!L$28, Inventory!$J54:$BQ54)</f>
        <v>30000</v>
      </c>
      <c r="M16" s="10">
        <f ca="1" xml:space="preserve"> SUMIF( Time!$J347:$BQ347, Time!M$28, Inventory!$J54:$BQ54)</f>
        <v>10000</v>
      </c>
      <c r="N16" s="10">
        <f ca="1" xml:space="preserve"> SUMIF( Time!$J347:$BQ347, Time!N$28, Inventory!$J54:$BQ54)</f>
        <v>50000</v>
      </c>
      <c r="O16" s="10">
        <f ca="1" xml:space="preserve"> SUMIF( Time!$J347:$BQ347, Time!O$28, Inventory!$J54:$BQ54)</f>
        <v>75000</v>
      </c>
      <c r="P16" s="10">
        <f ca="1" xml:space="preserve"> SUMIF( Time!$J347:$BQ347, Time!P$28, Inventory!$J54:$BQ54)</f>
        <v>120000</v>
      </c>
      <c r="Q16" s="10">
        <f ca="1" xml:space="preserve"> SUMIF( Time!$J347:$BQ347, Time!Q$28, Inventory!$J54:$BQ54)</f>
        <v>175000</v>
      </c>
      <c r="R16" s="10">
        <f ca="1" xml:space="preserve"> SUMIF( Time!$J347:$BQ347, Time!R$28, Inventory!$J54:$BQ54)</f>
        <v>240000</v>
      </c>
      <c r="S16" s="10">
        <f ca="1" xml:space="preserve"> SUMIF( Time!$J347:$BQ347, Time!S$28, Inventory!$J54:$BQ54)</f>
        <v>340000</v>
      </c>
    </row>
    <row r="17" spans="5:19">
      <c r="E17" s="17" t="str">
        <f xml:space="preserve"> Inventory!E$73</f>
        <v>Units in use</v>
      </c>
      <c r="F17" s="17">
        <f xml:space="preserve"> Inventory!F$73</f>
        <v>0</v>
      </c>
      <c r="G17" s="17" t="str">
        <f xml:space="preserve"> Inventory!G$73</f>
        <v>Units</v>
      </c>
      <c r="H17" s="44">
        <f xml:space="preserve"> Inventory!H$73</f>
        <v>0</v>
      </c>
      <c r="I17" s="17">
        <f xml:space="preserve"> Inventory!I$73</f>
        <v>1500</v>
      </c>
      <c r="J17" s="10">
        <f ca="1" xml:space="preserve"> SUMIF( Time!$J352:$BQ352, Time!J$28, Inventory!$J73:$BQ73)</f>
        <v>7500</v>
      </c>
      <c r="K17" s="10">
        <f ca="1" xml:space="preserve"> SUMIF( Time!$J352:$BQ352, Time!K$28, Inventory!$J73:$BQ73)</f>
        <v>27500</v>
      </c>
      <c r="L17" s="10">
        <f ca="1" xml:space="preserve"> SUMIF( Time!$J352:$BQ352, Time!L$28, Inventory!$J73:$BQ73)</f>
        <v>57500</v>
      </c>
      <c r="M17" s="10">
        <f ca="1" xml:space="preserve"> SUMIF( Time!$J352:$BQ352, Time!M$28, Inventory!$J73:$BQ73)</f>
        <v>67500</v>
      </c>
      <c r="N17" s="10">
        <f ca="1" xml:space="preserve"> SUMIF( Time!$J352:$BQ352, Time!N$28, Inventory!$J73:$BQ73)</f>
        <v>107500</v>
      </c>
      <c r="O17" s="10">
        <f ca="1" xml:space="preserve"> SUMIF( Time!$J352:$BQ352, Time!O$28, Inventory!$J73:$BQ73)</f>
        <v>154500</v>
      </c>
      <c r="P17" s="10">
        <f ca="1" xml:space="preserve"> SUMIF( Time!$J352:$BQ352, Time!P$28, Inventory!$J73:$BQ73)</f>
        <v>237599.46637945305</v>
      </c>
      <c r="Q17" s="10">
        <f ca="1" xml:space="preserve"> SUMIF( Time!$J352:$BQ352, Time!Q$28, Inventory!$J73:$BQ73)</f>
        <v>360414.23127447121</v>
      </c>
      <c r="R17" s="10">
        <f ca="1" xml:space="preserve"> SUMIF( Time!$J352:$BQ352, Time!R$28, Inventory!$J73:$BQ73)</f>
        <v>517613.16403337731</v>
      </c>
      <c r="S17" s="10">
        <f ca="1" xml:space="preserve"> SUMIF( Time!$J352:$BQ352, Time!S$28, Inventory!$J73:$BQ73)</f>
        <v>728042.69382341357</v>
      </c>
    </row>
    <row r="18" spans="5:19">
      <c r="E18" s="17" t="str">
        <f xml:space="preserve"> Inventory!E$77</f>
        <v>Units retired</v>
      </c>
      <c r="F18" s="17">
        <f xml:space="preserve"> Inventory!F$77</f>
        <v>0</v>
      </c>
      <c r="G18" s="17" t="str">
        <f xml:space="preserve"> Inventory!G$77</f>
        <v>Units</v>
      </c>
      <c r="H18" s="44">
        <f ca="1" xml:space="preserve"> Inventory!H$77</f>
        <v>339457.30617658654</v>
      </c>
      <c r="I18" s="17">
        <f xml:space="preserve"> Inventory!I$77</f>
        <v>0</v>
      </c>
      <c r="J18" s="10">
        <f ca="1" xml:space="preserve"> SUMIF( Time!$J347:$BQ347, Time!J$28, Inventory!$J77:$BQ77)</f>
        <v>0</v>
      </c>
      <c r="K18" s="10">
        <f ca="1" xml:space="preserve"> SUMIF( Time!$J347:$BQ347, Time!K$28, Inventory!$J77:$BQ77)</f>
        <v>0</v>
      </c>
      <c r="L18" s="10">
        <f ca="1" xml:space="preserve"> SUMIF( Time!$J347:$BQ347, Time!L$28, Inventory!$J77:$BQ77)</f>
        <v>0</v>
      </c>
      <c r="M18" s="10">
        <f ca="1" xml:space="preserve"> SUMIF( Time!$J347:$BQ347, Time!M$28, Inventory!$J77:$BQ77)</f>
        <v>0</v>
      </c>
      <c r="N18" s="10">
        <f ca="1" xml:space="preserve"> SUMIF( Time!$J347:$BQ347, Time!N$28, Inventory!$J77:$BQ77)</f>
        <v>10000</v>
      </c>
      <c r="O18" s="10">
        <f ca="1" xml:space="preserve"> SUMIF( Time!$J347:$BQ347, Time!O$28, Inventory!$J77:$BQ77)</f>
        <v>28000</v>
      </c>
      <c r="P18" s="10">
        <f ca="1" xml:space="preserve"> SUMIF( Time!$J347:$BQ347, Time!P$28, Inventory!$J77:$BQ77)</f>
        <v>36900.533620546958</v>
      </c>
      <c r="Q18" s="10">
        <f ca="1" xml:space="preserve"> SUMIF( Time!$J347:$BQ347, Time!Q$28, Inventory!$J77:$BQ77)</f>
        <v>52185.235104981883</v>
      </c>
      <c r="R18" s="10">
        <f ca="1" xml:space="preserve"> SUMIF( Time!$J347:$BQ347, Time!R$28, Inventory!$J77:$BQ77)</f>
        <v>82801.06724109393</v>
      </c>
      <c r="S18" s="10">
        <f ca="1" xml:space="preserve"> SUMIF( Time!$J347:$BQ347, Time!S$28, Inventory!$J77:$BQ77)</f>
        <v>129570.47020996381</v>
      </c>
    </row>
    <row r="19" spans="5:19">
      <c r="E19" s="17" t="str">
        <f xml:space="preserve"> Inventory!E$85</f>
        <v>Total Units retired</v>
      </c>
      <c r="F19" s="17">
        <f xml:space="preserve"> Inventory!F$85</f>
        <v>0</v>
      </c>
      <c r="G19" s="17" t="str">
        <f xml:space="preserve"> Inventory!G$85</f>
        <v>Units</v>
      </c>
      <c r="H19" s="44">
        <f xml:space="preserve"> Inventory!H$85</f>
        <v>0</v>
      </c>
      <c r="I19" s="17">
        <f xml:space="preserve"> Inventory!I$85</f>
        <v>0</v>
      </c>
      <c r="J19" s="10">
        <f ca="1" xml:space="preserve"> SUMIF( Time!$J352:$BQ352, Time!J$28, Inventory!$J85:$BQ85)</f>
        <v>0</v>
      </c>
      <c r="K19" s="10">
        <f ca="1" xml:space="preserve"> SUMIF( Time!$J352:$BQ352, Time!K$28, Inventory!$J85:$BQ85)</f>
        <v>0</v>
      </c>
      <c r="L19" s="10">
        <f ca="1" xml:space="preserve"> SUMIF( Time!$J352:$BQ352, Time!L$28, Inventory!$J85:$BQ85)</f>
        <v>0</v>
      </c>
      <c r="M19" s="10">
        <f ca="1" xml:space="preserve"> SUMIF( Time!$J352:$BQ352, Time!M$28, Inventory!$J85:$BQ85)</f>
        <v>0</v>
      </c>
      <c r="N19" s="10">
        <f ca="1" xml:space="preserve"> SUMIF( Time!$J352:$BQ352, Time!N$28, Inventory!$J85:$BQ85)</f>
        <v>10000</v>
      </c>
      <c r="O19" s="10">
        <f ca="1" xml:space="preserve"> SUMIF( Time!$J352:$BQ352, Time!O$28, Inventory!$J85:$BQ85)</f>
        <v>38000</v>
      </c>
      <c r="P19" s="10">
        <f ca="1" xml:space="preserve"> SUMIF( Time!$J352:$BQ352, Time!P$28, Inventory!$J85:$BQ85)</f>
        <v>74900.533620546965</v>
      </c>
      <c r="Q19" s="10">
        <f ca="1" xml:space="preserve"> SUMIF( Time!$J352:$BQ352, Time!Q$28, Inventory!$J85:$BQ85)</f>
        <v>127085.76872552883</v>
      </c>
      <c r="R19" s="10">
        <f ca="1" xml:space="preserve"> SUMIF( Time!$J352:$BQ352, Time!R$28, Inventory!$J85:$BQ85)</f>
        <v>209886.83596662275</v>
      </c>
      <c r="S19" s="10">
        <f ca="1" xml:space="preserve"> SUMIF( Time!$J352:$BQ352, Time!S$28, Inventory!$J85:$BQ85)</f>
        <v>339457.30617658654</v>
      </c>
    </row>
  </sheetData>
  <conditionalFormatting sqref="F3">
    <cfRule type="cellIs" dxfId="43" priority="8" stopIfTrue="1" operator="notEqual">
      <formula>0</formula>
    </cfRule>
    <cfRule type="cellIs" dxfId="42" priority="9" stopIfTrue="1" operator="equal">
      <formula>""</formula>
    </cfRule>
  </conditionalFormatting>
  <conditionalFormatting sqref="J3:S3">
    <cfRule type="cellIs" dxfId="41" priority="6" stopIfTrue="1" operator="equal">
      <formula>"Construction"</formula>
    </cfRule>
    <cfRule type="cellIs" dxfId="40" priority="7" stopIfTrue="1" operator="equal">
      <formula>"Operations"</formula>
    </cfRule>
  </conditionalFormatting>
  <conditionalFormatting sqref="J3:S3">
    <cfRule type="cellIs" dxfId="39" priority="5" operator="equal">
      <formula>"Fin Close"</formula>
    </cfRule>
  </conditionalFormatting>
  <conditionalFormatting sqref="J3:S3">
    <cfRule type="cellIs" dxfId="38" priority="3" operator="equal">
      <formula>"PPA ext."</formula>
    </cfRule>
    <cfRule type="cellIs" dxfId="37" priority="4" operator="equal">
      <formula>"Delay"</formula>
    </cfRule>
  </conditionalFormatting>
  <conditionalFormatting sqref="F2">
    <cfRule type="cellIs" dxfId="36" priority="1" stopIfTrue="1" operator="notEqual">
      <formula>0</formula>
    </cfRule>
    <cfRule type="cellIs" dxfId="35"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2.33203125" bestFit="1" customWidth="1"/>
    <col min="11" max="11" width="12.109375" bestFit="1" customWidth="1"/>
    <col min="12" max="12" width="11.21875" bestFit="1" customWidth="1"/>
    <col min="13" max="13" width="12.33203125" bestFit="1" customWidth="1"/>
    <col min="14" max="14" width="12.21875" bestFit="1" customWidth="1"/>
    <col min="15" max="15" width="11.77734375" bestFit="1" customWidth="1"/>
    <col min="16" max="16" width="12.33203125" bestFit="1" customWidth="1"/>
    <col min="17" max="17" width="12.21875" bestFit="1" customWidth="1"/>
    <col min="18" max="18" width="11.88671875" bestFit="1" customWidth="1"/>
    <col min="19" max="19" width="12.109375" bestFit="1" customWidth="1"/>
    <col min="20" max="20" width="12" bestFit="1" customWidth="1"/>
    <col min="21" max="21" width="11.77734375" bestFit="1" customWidth="1"/>
    <col min="22" max="22" width="12.33203125" bestFit="1" customWidth="1"/>
    <col min="23" max="23" width="12.109375" bestFit="1" customWidth="1"/>
    <col min="24" max="24" width="11.21875" bestFit="1" customWidth="1"/>
    <col min="25" max="25" width="12.33203125" bestFit="1" customWidth="1"/>
    <col min="26" max="26" width="12.21875" bestFit="1" customWidth="1"/>
    <col min="27" max="27" width="11.77734375" bestFit="1" customWidth="1"/>
    <col min="28" max="28" width="12.33203125" bestFit="1" customWidth="1"/>
    <col min="29" max="29" width="12.21875" bestFit="1" customWidth="1"/>
    <col min="30" max="30" width="11.88671875" bestFit="1" customWidth="1"/>
    <col min="31" max="31" width="12.109375" bestFit="1" customWidth="1"/>
    <col min="32" max="32" width="12" bestFit="1" customWidth="1"/>
    <col min="33" max="33" width="11.77734375" bestFit="1" customWidth="1"/>
    <col min="34" max="34" width="12.33203125" bestFit="1" customWidth="1"/>
    <col min="35" max="35" width="12.109375" bestFit="1" customWidth="1"/>
    <col min="36" max="36" width="11.21875" bestFit="1" customWidth="1"/>
    <col min="37" max="37" width="12.33203125" bestFit="1" customWidth="1"/>
    <col min="38" max="38" width="12.21875" bestFit="1" customWidth="1"/>
    <col min="39" max="39" width="11.77734375" bestFit="1" customWidth="1"/>
    <col min="40" max="40" width="12.33203125" bestFit="1" customWidth="1"/>
    <col min="41" max="41" width="12.21875" bestFit="1" customWidth="1"/>
    <col min="42" max="42" width="11.88671875" bestFit="1" customWidth="1"/>
    <col min="43" max="43" width="12.109375" bestFit="1" customWidth="1"/>
    <col min="44" max="44" width="12" bestFit="1" customWidth="1"/>
    <col min="45" max="45" width="11.77734375" bestFit="1" customWidth="1"/>
    <col min="46" max="46" width="12.33203125" bestFit="1" customWidth="1"/>
    <col min="47" max="47" width="12.109375" bestFit="1" customWidth="1"/>
    <col min="48" max="48" width="11.21875" bestFit="1" customWidth="1"/>
    <col min="49" max="49" width="12.33203125" bestFit="1" customWidth="1"/>
    <col min="50" max="50" width="12.21875" bestFit="1" customWidth="1"/>
    <col min="51" max="51" width="11.77734375" bestFit="1" customWidth="1"/>
    <col min="52" max="52" width="12.33203125" bestFit="1" customWidth="1"/>
    <col min="53" max="53" width="12.21875" bestFit="1" customWidth="1"/>
    <col min="54" max="54" width="11.88671875" bestFit="1" customWidth="1"/>
    <col min="55" max="55" width="12.109375" bestFit="1" customWidth="1"/>
    <col min="56" max="56" width="12" bestFit="1" customWidth="1"/>
    <col min="57" max="57" width="11.77734375" bestFit="1" customWidth="1"/>
    <col min="58" max="58" width="12.33203125" bestFit="1" customWidth="1"/>
    <col min="59" max="59" width="12.109375" bestFit="1" customWidth="1"/>
    <col min="60" max="60" width="11.21875" bestFit="1" customWidth="1"/>
    <col min="61" max="61" width="12.33203125" bestFit="1" customWidth="1"/>
    <col min="62" max="62" width="12.21875" bestFit="1" customWidth="1"/>
    <col min="63" max="63" width="11.77734375" bestFit="1" customWidth="1"/>
    <col min="64" max="64" width="12.33203125" bestFit="1" customWidth="1"/>
    <col min="65" max="65" width="12.21875" bestFit="1" customWidth="1"/>
    <col min="66" max="66" width="11.88671875" bestFit="1" customWidth="1"/>
    <col min="67" max="67" width="12.109375" bestFit="1" customWidth="1"/>
    <col min="68" max="68" width="12" bestFit="1" customWidth="1"/>
    <col min="69" max="69" width="11.77734375" bestFit="1" customWidth="1"/>
    <col min="70" max="70" width="15.109375" hidden="1" customWidth="1"/>
    <col min="71" max="16384" width="15.109375" hidden="1"/>
  </cols>
  <sheetData>
    <row r="1" spans="1:69" s="73" customFormat="1" ht="25">
      <c r="A1" s="46" t="str">
        <f ca="1" xml:space="preserve"> RIGHT(CELL("filename", A1), LEN(CELL("filename", A1)) - SEARCH("]", CELL("filename", A1)))</f>
        <v>Metrics Report</v>
      </c>
      <c r="B1" s="76"/>
      <c r="C1" s="77"/>
      <c r="D1" s="70"/>
      <c r="F1" s="53" t="str">
        <f>HYPERLINK("#Contents!A1","Go to contents")</f>
        <v>Go to contents</v>
      </c>
      <c r="H1" s="50"/>
      <c r="J1" s="50"/>
    </row>
    <row r="2" spans="1:69" s="55" customFormat="1">
      <c r="A2" s="51"/>
      <c r="B2" s="51"/>
      <c r="C2" s="71"/>
      <c r="D2" s="72"/>
      <c r="E2" s="22" t="s">
        <v>331</v>
      </c>
      <c r="F2" s="52">
        <f ca="1" xml:space="preserve"> 'Model Checks and Alerts'!F11</f>
        <v>0</v>
      </c>
      <c r="G2" s="54" t="s">
        <v>144</v>
      </c>
      <c r="H2" s="49"/>
      <c r="I2" s="49"/>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2" customFormat="1">
      <c r="A3" s="51"/>
      <c r="B3" s="51"/>
      <c r="C3" s="71"/>
      <c r="D3" s="72"/>
      <c r="E3" s="41" t="s">
        <v>206</v>
      </c>
      <c r="F3" s="52"/>
      <c r="G3" s="54" t="s">
        <v>98</v>
      </c>
      <c r="H3" s="49"/>
      <c r="I3" s="49"/>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6" customFormat="1">
      <c r="A4" s="51"/>
      <c r="B4" s="51"/>
      <c r="C4" s="71"/>
      <c r="D4" s="72"/>
      <c r="E4" s="22" t="s">
        <v>332</v>
      </c>
      <c r="F4"/>
      <c r="G4"/>
      <c r="H4" s="49"/>
      <c r="I4" s="49"/>
      <c r="J4" s="26">
        <f xml:space="preserve"> Time!J$28</f>
        <v>1</v>
      </c>
      <c r="K4" s="26">
        <f xml:space="preserve"> Time!K$28</f>
        <v>2</v>
      </c>
      <c r="L4" s="26">
        <f xml:space="preserve"> Time!L$28</f>
        <v>3</v>
      </c>
      <c r="M4" s="26">
        <f xml:space="preserve"> Time!M$28</f>
        <v>4</v>
      </c>
      <c r="N4" s="26">
        <f xml:space="preserve"> Time!N$28</f>
        <v>5</v>
      </c>
      <c r="O4" s="26">
        <f xml:space="preserve"> Time!O$28</f>
        <v>6</v>
      </c>
      <c r="P4" s="26">
        <f xml:space="preserve"> Time!P$28</f>
        <v>7</v>
      </c>
      <c r="Q4" s="26">
        <f xml:space="preserve"> Time!Q$28</f>
        <v>8</v>
      </c>
      <c r="R4" s="26">
        <f xml:space="preserve"> Time!R$28</f>
        <v>9</v>
      </c>
      <c r="S4" s="26">
        <f xml:space="preserve"> Time!S$28</f>
        <v>10</v>
      </c>
      <c r="T4" s="26">
        <f xml:space="preserve"> Time!T$28</f>
        <v>11</v>
      </c>
      <c r="U4" s="26">
        <f xml:space="preserve"> Time!U$28</f>
        <v>12</v>
      </c>
      <c r="V4" s="26">
        <f xml:space="preserve"> Time!V$28</f>
        <v>13</v>
      </c>
      <c r="W4" s="26">
        <f xml:space="preserve"> Time!W$28</f>
        <v>14</v>
      </c>
      <c r="X4" s="26">
        <f xml:space="preserve"> Time!X$28</f>
        <v>15</v>
      </c>
      <c r="Y4" s="26">
        <f xml:space="preserve"> Time!Y$28</f>
        <v>16</v>
      </c>
      <c r="Z4" s="26">
        <f xml:space="preserve"> Time!Z$28</f>
        <v>17</v>
      </c>
      <c r="AA4" s="26">
        <f xml:space="preserve"> Time!AA$28</f>
        <v>18</v>
      </c>
      <c r="AB4" s="26">
        <f xml:space="preserve"> Time!AB$28</f>
        <v>19</v>
      </c>
      <c r="AC4" s="26">
        <f xml:space="preserve"> Time!AC$28</f>
        <v>20</v>
      </c>
      <c r="AD4" s="26">
        <f xml:space="preserve"> Time!AD$28</f>
        <v>21</v>
      </c>
      <c r="AE4" s="26">
        <f xml:space="preserve"> Time!AE$28</f>
        <v>22</v>
      </c>
      <c r="AF4" s="26">
        <f xml:space="preserve"> Time!AF$28</f>
        <v>23</v>
      </c>
      <c r="AG4" s="26">
        <f xml:space="preserve"> Time!AG$28</f>
        <v>24</v>
      </c>
      <c r="AH4" s="26">
        <f xml:space="preserve"> Time!AH$28</f>
        <v>25</v>
      </c>
      <c r="AI4" s="26">
        <f xml:space="preserve"> Time!AI$28</f>
        <v>26</v>
      </c>
      <c r="AJ4" s="26">
        <f xml:space="preserve"> Time!AJ$28</f>
        <v>27</v>
      </c>
      <c r="AK4" s="26">
        <f xml:space="preserve"> Time!AK$28</f>
        <v>28</v>
      </c>
      <c r="AL4" s="26">
        <f xml:space="preserve"> Time!AL$28</f>
        <v>29</v>
      </c>
      <c r="AM4" s="26">
        <f xml:space="preserve"> Time!AM$28</f>
        <v>30</v>
      </c>
      <c r="AN4" s="26">
        <f xml:space="preserve"> Time!AN$28</f>
        <v>31</v>
      </c>
      <c r="AO4" s="26">
        <f xml:space="preserve"> Time!AO$28</f>
        <v>32</v>
      </c>
      <c r="AP4" s="26">
        <f xml:space="preserve"> Time!AP$28</f>
        <v>33</v>
      </c>
      <c r="AQ4" s="26">
        <f xml:space="preserve"> Time!AQ$28</f>
        <v>34</v>
      </c>
      <c r="AR4" s="26">
        <f xml:space="preserve"> Time!AR$28</f>
        <v>35</v>
      </c>
      <c r="AS4" s="26">
        <f xml:space="preserve"> Time!AS$28</f>
        <v>36</v>
      </c>
      <c r="AT4" s="26">
        <f xml:space="preserve"> Time!AT$28</f>
        <v>37</v>
      </c>
      <c r="AU4" s="26">
        <f xml:space="preserve"> Time!AU$28</f>
        <v>38</v>
      </c>
      <c r="AV4" s="26">
        <f xml:space="preserve"> Time!AV$28</f>
        <v>39</v>
      </c>
      <c r="AW4" s="26">
        <f xml:space="preserve"> Time!AW$28</f>
        <v>40</v>
      </c>
      <c r="AX4" s="26">
        <f xml:space="preserve"> Time!AX$28</f>
        <v>41</v>
      </c>
      <c r="AY4" s="26">
        <f xml:space="preserve"> Time!AY$28</f>
        <v>42</v>
      </c>
      <c r="AZ4" s="26">
        <f xml:space="preserve"> Time!AZ$28</f>
        <v>43</v>
      </c>
      <c r="BA4" s="26">
        <f xml:space="preserve"> Time!BA$28</f>
        <v>44</v>
      </c>
      <c r="BB4" s="26">
        <f xml:space="preserve"> Time!BB$28</f>
        <v>45</v>
      </c>
      <c r="BC4" s="26">
        <f xml:space="preserve"> Time!BC$28</f>
        <v>46</v>
      </c>
      <c r="BD4" s="26">
        <f xml:space="preserve"> Time!BD$28</f>
        <v>47</v>
      </c>
      <c r="BE4" s="26">
        <f xml:space="preserve"> Time!BE$28</f>
        <v>48</v>
      </c>
      <c r="BF4" s="26">
        <f xml:space="preserve"> Time!BF$28</f>
        <v>49</v>
      </c>
      <c r="BG4" s="26">
        <f xml:space="preserve"> Time!BG$28</f>
        <v>50</v>
      </c>
      <c r="BH4" s="26">
        <f xml:space="preserve"> Time!BH$28</f>
        <v>51</v>
      </c>
      <c r="BI4" s="26">
        <f xml:space="preserve"> Time!BI$28</f>
        <v>52</v>
      </c>
      <c r="BJ4" s="26">
        <f xml:space="preserve"> Time!BJ$28</f>
        <v>53</v>
      </c>
      <c r="BK4" s="26">
        <f xml:space="preserve"> Time!BK$28</f>
        <v>54</v>
      </c>
      <c r="BL4" s="26">
        <f xml:space="preserve"> Time!BL$28</f>
        <v>55</v>
      </c>
      <c r="BM4" s="26">
        <f xml:space="preserve"> Time!BM$28</f>
        <v>56</v>
      </c>
      <c r="BN4" s="26">
        <f xml:space="preserve"> Time!BN$28</f>
        <v>57</v>
      </c>
      <c r="BO4" s="26">
        <f xml:space="preserve"> Time!BO$28</f>
        <v>58</v>
      </c>
      <c r="BP4" s="26">
        <f xml:space="preserve"> Time!BP$28</f>
        <v>59</v>
      </c>
      <c r="BQ4" s="26">
        <f xml:space="preserve"> Time!BQ$28</f>
        <v>60</v>
      </c>
    </row>
    <row r="5" spans="1:69" s="32" customFormat="1">
      <c r="A5" s="51"/>
      <c r="B5" s="51"/>
      <c r="C5" s="71"/>
      <c r="D5" s="72"/>
      <c r="E5" s="22" t="s">
        <v>312</v>
      </c>
      <c r="F5" s="23" t="s">
        <v>254</v>
      </c>
      <c r="G5" s="23" t="s">
        <v>228</v>
      </c>
      <c r="H5" s="23" t="s">
        <v>205</v>
      </c>
      <c r="I5" s="49"/>
      <c r="J5" s="15"/>
      <c r="K5" s="15"/>
      <c r="L5" s="15"/>
      <c r="M5" s="15"/>
      <c r="N5" s="15"/>
      <c r="O5" s="15"/>
      <c r="P5" s="15"/>
    </row>
    <row r="6" spans="1:69" s="45" customFormat="1">
      <c r="A6" s="23"/>
      <c r="B6" s="23"/>
      <c r="C6" s="48"/>
      <c r="D6" s="75"/>
      <c r="F6" s="23"/>
      <c r="G6" s="23"/>
      <c r="H6" s="23"/>
    </row>
    <row r="8" spans="1:6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row>
  </sheetData>
  <conditionalFormatting sqref="F3">
    <cfRule type="cellIs" dxfId="34" priority="8" stopIfTrue="1" operator="notEqual">
      <formula>0</formula>
    </cfRule>
    <cfRule type="cellIs" dxfId="33" priority="9" stopIfTrue="1" operator="equal">
      <formula>""</formula>
    </cfRule>
  </conditionalFormatting>
  <conditionalFormatting sqref="J3:BQ3">
    <cfRule type="cellIs" dxfId="32" priority="6" stopIfTrue="1" operator="equal">
      <formula>"Construction"</formula>
    </cfRule>
    <cfRule type="cellIs" dxfId="31" priority="7" stopIfTrue="1" operator="equal">
      <formula>"Operations"</formula>
    </cfRule>
  </conditionalFormatting>
  <conditionalFormatting sqref="J3:BQ3">
    <cfRule type="cellIs" dxfId="30" priority="5" operator="equal">
      <formula>"Fin Close"</formula>
    </cfRule>
  </conditionalFormatting>
  <conditionalFormatting sqref="J3:BQ3">
    <cfRule type="cellIs" dxfId="29" priority="3" operator="equal">
      <formula>"PPA ext."</formula>
    </cfRule>
    <cfRule type="cellIs" dxfId="28" priority="4" operator="equal">
      <formula>"Delay"</formula>
    </cfRule>
  </conditionalFormatting>
  <conditionalFormatting sqref="F2">
    <cfRule type="cellIs" dxfId="27" priority="1" stopIfTrue="1" operator="notEqual">
      <formula>0</formula>
    </cfRule>
    <cfRule type="cellIs" dxfId="26"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0" width="11.21875" bestFit="1" customWidth="1"/>
    <col min="11" max="11" width="11.77734375" bestFit="1" customWidth="1"/>
    <col min="12" max="12" width="11.88671875" bestFit="1" customWidth="1"/>
    <col min="13" max="13" width="11.77734375" bestFit="1" customWidth="1"/>
    <col min="14" max="14" width="11.21875" bestFit="1" customWidth="1"/>
    <col min="15" max="15" width="11.77734375" bestFit="1" customWidth="1"/>
    <col min="16" max="16" width="11.88671875" bestFit="1" customWidth="1"/>
    <col min="17" max="17" width="11.77734375" bestFit="1" customWidth="1"/>
    <col min="18" max="18" width="11.21875" bestFit="1" customWidth="1"/>
    <col min="19" max="19" width="11.77734375" bestFit="1" customWidth="1"/>
    <col min="20" max="20" width="11.88671875" bestFit="1" customWidth="1"/>
    <col min="21" max="21" width="11.77734375" bestFit="1" customWidth="1"/>
    <col min="22" max="22" width="11.21875" bestFit="1" customWidth="1"/>
    <col min="23" max="23" width="11.77734375" bestFit="1" customWidth="1"/>
    <col min="24" max="24" width="11.88671875" bestFit="1" customWidth="1"/>
    <col min="25" max="25" width="11.77734375" bestFit="1" customWidth="1"/>
    <col min="26" max="26" width="11.21875" bestFit="1" customWidth="1"/>
    <col min="27" max="27" width="11.77734375" bestFit="1" customWidth="1"/>
    <col min="28" max="28" width="11.88671875" bestFit="1" customWidth="1"/>
    <col min="29" max="29" width="11.77734375" bestFit="1" customWidth="1"/>
    <col min="30" max="30" width="15.109375" hidden="1" customWidth="1"/>
    <col min="31" max="16384" width="15.109375" hidden="1"/>
  </cols>
  <sheetData>
    <row r="1" spans="1:29" s="73" customFormat="1" ht="25">
      <c r="A1" s="46" t="str">
        <f ca="1" xml:space="preserve"> RIGHT(CELL("filename", A1), LEN(CELL("filename", A1)) - SEARCH("]", CELL("filename", A1)))</f>
        <v>Metrics Report Qly</v>
      </c>
      <c r="B1" s="76"/>
      <c r="C1" s="77"/>
      <c r="D1" s="70"/>
      <c r="F1" s="53" t="str">
        <f>HYPERLINK("#Contents!A1","Go to contents")</f>
        <v>Go to contents</v>
      </c>
      <c r="H1" s="50"/>
      <c r="J1" s="50"/>
    </row>
    <row r="2" spans="1:29" s="55" customFormat="1">
      <c r="A2" s="51"/>
      <c r="B2" s="51"/>
      <c r="C2" s="71"/>
      <c r="D2" s="72"/>
      <c r="E2" s="22" t="s">
        <v>331</v>
      </c>
      <c r="F2" s="52">
        <f ca="1" xml:space="preserve"> 'Model Checks and Alerts'!F11</f>
        <v>0</v>
      </c>
      <c r="G2" s="54" t="s">
        <v>144</v>
      </c>
      <c r="H2" s="49"/>
      <c r="I2" s="49"/>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2" customFormat="1">
      <c r="A3" s="51"/>
      <c r="B3" s="51"/>
      <c r="C3" s="71"/>
      <c r="D3" s="72"/>
      <c r="E3" s="41" t="s">
        <v>206</v>
      </c>
      <c r="F3" s="52"/>
      <c r="G3" s="54" t="s">
        <v>98</v>
      </c>
      <c r="H3" s="49"/>
      <c r="I3" s="49"/>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6" customFormat="1">
      <c r="A4" s="51"/>
      <c r="B4" s="51"/>
      <c r="C4" s="71"/>
      <c r="D4" s="72"/>
      <c r="E4" s="22" t="s">
        <v>332</v>
      </c>
      <c r="F4"/>
      <c r="G4"/>
      <c r="H4" s="49"/>
      <c r="I4" s="49"/>
      <c r="J4" s="26">
        <f xml:space="preserve"> Time!J$88</f>
        <v>3</v>
      </c>
      <c r="K4" s="26">
        <f xml:space="preserve"> Time!K$88</f>
        <v>6</v>
      </c>
      <c r="L4" s="26">
        <f xml:space="preserve"> Time!L$88</f>
        <v>9</v>
      </c>
      <c r="M4" s="26">
        <f xml:space="preserve"> Time!M$88</f>
        <v>12</v>
      </c>
      <c r="N4" s="26">
        <f xml:space="preserve"> Time!N$88</f>
        <v>15</v>
      </c>
      <c r="O4" s="26">
        <f xml:space="preserve"> Time!O$88</f>
        <v>18</v>
      </c>
      <c r="P4" s="26">
        <f xml:space="preserve"> Time!P$88</f>
        <v>21</v>
      </c>
      <c r="Q4" s="26">
        <f xml:space="preserve"> Time!Q$88</f>
        <v>24</v>
      </c>
      <c r="R4" s="26">
        <f xml:space="preserve"> Time!R$88</f>
        <v>27</v>
      </c>
      <c r="S4" s="26">
        <f xml:space="preserve"> Time!S$88</f>
        <v>30</v>
      </c>
      <c r="T4" s="26">
        <f xml:space="preserve"> Time!T$88</f>
        <v>33</v>
      </c>
      <c r="U4" s="26">
        <f xml:space="preserve"> Time!U$88</f>
        <v>36</v>
      </c>
      <c r="V4" s="26">
        <f xml:space="preserve"> Time!V$88</f>
        <v>39</v>
      </c>
      <c r="W4" s="26">
        <f xml:space="preserve"> Time!W$88</f>
        <v>42</v>
      </c>
      <c r="X4" s="26">
        <f xml:space="preserve"> Time!X$88</f>
        <v>45</v>
      </c>
      <c r="Y4" s="26">
        <f xml:space="preserve"> Time!Y$88</f>
        <v>48</v>
      </c>
      <c r="Z4" s="26">
        <f xml:space="preserve"> Time!Z$88</f>
        <v>51</v>
      </c>
      <c r="AA4" s="26">
        <f xml:space="preserve"> Time!AA$88</f>
        <v>54</v>
      </c>
      <c r="AB4" s="26">
        <f xml:space="preserve"> Time!AB$88</f>
        <v>57</v>
      </c>
      <c r="AC4" s="26">
        <f xml:space="preserve"> Time!AC$88</f>
        <v>60</v>
      </c>
    </row>
    <row r="5" spans="1:29" s="32" customFormat="1">
      <c r="A5" s="51"/>
      <c r="B5" s="51"/>
      <c r="C5" s="71"/>
      <c r="D5" s="72"/>
      <c r="E5" s="22" t="s">
        <v>312</v>
      </c>
      <c r="F5" s="23" t="s">
        <v>254</v>
      </c>
      <c r="G5" s="23" t="s">
        <v>228</v>
      </c>
      <c r="H5" s="23" t="s">
        <v>205</v>
      </c>
      <c r="I5" s="49"/>
      <c r="J5" s="15"/>
      <c r="K5" s="15"/>
      <c r="L5" s="15"/>
      <c r="M5" s="15"/>
      <c r="N5" s="15"/>
      <c r="O5" s="15"/>
      <c r="P5" s="15"/>
    </row>
    <row r="6" spans="1:29" s="45" customFormat="1">
      <c r="A6" s="23"/>
      <c r="B6" s="23"/>
      <c r="C6" s="48"/>
      <c r="D6" s="75"/>
      <c r="F6" s="23"/>
      <c r="G6" s="23"/>
      <c r="H6" s="23"/>
    </row>
    <row r="8" spans="1:2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c r="T8" s="10"/>
      <c r="U8" s="10"/>
      <c r="V8" s="10"/>
      <c r="W8" s="10"/>
      <c r="X8" s="10"/>
      <c r="Y8" s="10"/>
      <c r="Z8" s="10"/>
      <c r="AA8" s="10"/>
      <c r="AB8" s="10"/>
      <c r="AC8" s="10"/>
    </row>
  </sheetData>
  <conditionalFormatting sqref="F3">
    <cfRule type="cellIs" dxfId="25" priority="8" stopIfTrue="1" operator="notEqual">
      <formula>0</formula>
    </cfRule>
    <cfRule type="cellIs" dxfId="24" priority="9" stopIfTrue="1" operator="equal">
      <formula>""</formula>
    </cfRule>
  </conditionalFormatting>
  <conditionalFormatting sqref="J3:AC3">
    <cfRule type="cellIs" dxfId="23" priority="6" stopIfTrue="1" operator="equal">
      <formula>"Construction"</formula>
    </cfRule>
    <cfRule type="cellIs" dxfId="22" priority="7" stopIfTrue="1" operator="equal">
      <formula>"Operations"</formula>
    </cfRule>
  </conditionalFormatting>
  <conditionalFormatting sqref="J3:AC3">
    <cfRule type="cellIs" dxfId="21" priority="5" operator="equal">
      <formula>"Fin Close"</formula>
    </cfRule>
  </conditionalFormatting>
  <conditionalFormatting sqref="J3:AC3">
    <cfRule type="cellIs" dxfId="20" priority="3" operator="equal">
      <formula>"PPA ext."</formula>
    </cfRule>
    <cfRule type="cellIs" dxfId="19" priority="4" operator="equal">
      <formula>"Delay"</formula>
    </cfRule>
  </conditionalFormatting>
  <conditionalFormatting sqref="F2">
    <cfRule type="cellIs" dxfId="18" priority="1" stopIfTrue="1" operator="notEqual">
      <formula>0</formula>
    </cfRule>
    <cfRule type="cellIs" dxfId="17"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
  <cols>
    <col min="1" max="2" width="1.44140625" style="23" customWidth="1"/>
    <col min="3" max="3" width="1.44140625" style="48" customWidth="1"/>
    <col min="4" max="4" width="1.44140625" style="74" customWidth="1"/>
    <col min="5" max="5" width="23.33203125" bestFit="1" customWidth="1"/>
    <col min="6" max="6" width="20.5546875" bestFit="1" customWidth="1"/>
    <col min="7" max="7" width="13.21875" bestFit="1" customWidth="1"/>
    <col min="8" max="8" width="7.6640625" style="45" bestFit="1" customWidth="1"/>
    <col min="9" max="9" width="3.44140625" customWidth="1"/>
    <col min="10" max="19" width="11.77734375" bestFit="1" customWidth="1"/>
    <col min="20" max="20" width="15.109375" hidden="1" customWidth="1"/>
    <col min="21" max="16384" width="15.109375" hidden="1"/>
  </cols>
  <sheetData>
    <row r="1" spans="1:19" s="73" customFormat="1" ht="25">
      <c r="A1" s="46" t="str">
        <f ca="1" xml:space="preserve"> RIGHT(CELL("filename", A1), LEN(CELL("filename", A1)) - SEARCH("]", CELL("filename", A1)))</f>
        <v>Metrics Report SemiAnnually</v>
      </c>
      <c r="B1" s="76"/>
      <c r="C1" s="77"/>
      <c r="D1" s="70"/>
      <c r="F1" s="53" t="str">
        <f>HYPERLINK("#Contents!A1","Go to contents")</f>
        <v>Go to contents</v>
      </c>
      <c r="H1" s="50"/>
      <c r="J1" s="50"/>
    </row>
    <row r="2" spans="1:19" s="55" customFormat="1">
      <c r="A2" s="51"/>
      <c r="B2" s="51"/>
      <c r="C2" s="71"/>
      <c r="D2" s="72"/>
      <c r="E2" s="22" t="s">
        <v>331</v>
      </c>
      <c r="F2" s="52">
        <f ca="1" xml:space="preserve"> 'Model Checks and Alerts'!F11</f>
        <v>0</v>
      </c>
      <c r="G2" s="54" t="s">
        <v>144</v>
      </c>
      <c r="H2" s="49"/>
      <c r="I2" s="49"/>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2" customFormat="1">
      <c r="A3" s="51"/>
      <c r="B3" s="51"/>
      <c r="C3" s="71"/>
      <c r="D3" s="72"/>
      <c r="E3" s="41" t="s">
        <v>206</v>
      </c>
      <c r="F3" s="52"/>
      <c r="G3" s="54" t="s">
        <v>98</v>
      </c>
      <c r="H3" s="49"/>
      <c r="I3" s="49"/>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6" customFormat="1">
      <c r="A4" s="51"/>
      <c r="B4" s="51"/>
      <c r="C4" s="71"/>
      <c r="D4" s="72"/>
      <c r="E4" s="22" t="s">
        <v>332</v>
      </c>
      <c r="F4"/>
      <c r="G4"/>
      <c r="H4" s="49"/>
      <c r="I4" s="49"/>
      <c r="J4" s="26">
        <f xml:space="preserve"> Time!J$108</f>
        <v>6</v>
      </c>
      <c r="K4" s="26">
        <f xml:space="preserve"> Time!K$108</f>
        <v>12</v>
      </c>
      <c r="L4" s="26">
        <f xml:space="preserve"> Time!L$108</f>
        <v>18</v>
      </c>
      <c r="M4" s="26">
        <f xml:space="preserve"> Time!M$108</f>
        <v>24</v>
      </c>
      <c r="N4" s="26">
        <f xml:space="preserve"> Time!N$108</f>
        <v>30</v>
      </c>
      <c r="O4" s="26">
        <f xml:space="preserve"> Time!O$108</f>
        <v>36</v>
      </c>
      <c r="P4" s="26">
        <f xml:space="preserve"> Time!P$108</f>
        <v>42</v>
      </c>
      <c r="Q4" s="26">
        <f xml:space="preserve"> Time!Q$108</f>
        <v>48</v>
      </c>
      <c r="R4" s="26">
        <f xml:space="preserve"> Time!R$108</f>
        <v>54</v>
      </c>
      <c r="S4" s="26">
        <f xml:space="preserve"> Time!S$108</f>
        <v>60</v>
      </c>
    </row>
    <row r="5" spans="1:19" s="32" customFormat="1">
      <c r="A5" s="51"/>
      <c r="B5" s="51"/>
      <c r="C5" s="71"/>
      <c r="D5" s="72"/>
      <c r="E5" s="22" t="s">
        <v>312</v>
      </c>
      <c r="F5" s="23" t="s">
        <v>254</v>
      </c>
      <c r="G5" s="23" t="s">
        <v>228</v>
      </c>
      <c r="H5" s="23" t="s">
        <v>205</v>
      </c>
      <c r="I5" s="49"/>
      <c r="J5" s="15"/>
      <c r="K5" s="15"/>
      <c r="L5" s="15"/>
      <c r="M5" s="15"/>
      <c r="N5" s="15"/>
      <c r="O5" s="15"/>
      <c r="P5" s="15"/>
    </row>
    <row r="6" spans="1:19" s="45" customFormat="1">
      <c r="A6" s="23"/>
      <c r="B6" s="23"/>
      <c r="C6" s="48"/>
      <c r="D6" s="75"/>
      <c r="F6" s="23"/>
      <c r="G6" s="23"/>
      <c r="H6" s="23"/>
    </row>
    <row r="8" spans="1:19">
      <c r="E8" s="17" t="str">
        <f xml:space="preserve"> Metrics!E$10</f>
        <v>Cash Low</v>
      </c>
      <c r="F8" s="17">
        <f ca="1" xml:space="preserve"> Metrics!$F$10</f>
        <v>-65340</v>
      </c>
      <c r="G8" s="17" t="str">
        <f xml:space="preserve"> Metrics!G$10</f>
        <v>GBP</v>
      </c>
      <c r="H8" s="44"/>
      <c r="I8" s="17"/>
      <c r="J8" s="10"/>
      <c r="K8" s="10"/>
      <c r="L8" s="10"/>
      <c r="M8" s="10"/>
      <c r="N8" s="10"/>
      <c r="O8" s="10"/>
      <c r="P8" s="10"/>
      <c r="Q8" s="10"/>
      <c r="R8" s="10"/>
      <c r="S8" s="10"/>
    </row>
  </sheetData>
  <conditionalFormatting sqref="F3">
    <cfRule type="cellIs" dxfId="16" priority="8" stopIfTrue="1" operator="notEqual">
      <formula>0</formula>
    </cfRule>
    <cfRule type="cellIs" dxfId="15" priority="9" stopIfTrue="1" operator="equal">
      <formula>""</formula>
    </cfRule>
  </conditionalFormatting>
  <conditionalFormatting sqref="J3:S3">
    <cfRule type="cellIs" dxfId="14" priority="6" stopIfTrue="1" operator="equal">
      <formula>"Construction"</formula>
    </cfRule>
    <cfRule type="cellIs" dxfId="13" priority="7" stopIfTrue="1" operator="equal">
      <formula>"Operations"</formula>
    </cfRule>
  </conditionalFormatting>
  <conditionalFormatting sqref="J3:S3">
    <cfRule type="cellIs" dxfId="12" priority="5" operator="equal">
      <formula>"Fin Close"</formula>
    </cfRule>
  </conditionalFormatting>
  <conditionalFormatting sqref="J3:S3">
    <cfRule type="cellIs" dxfId="11" priority="3" operator="equal">
      <formula>"PPA ext."</formula>
    </cfRule>
    <cfRule type="cellIs" dxfId="10" priority="4" operator="equal">
      <formula>"Delay"</formula>
    </cfRule>
  </conditionalFormatting>
  <conditionalFormatting sqref="F2">
    <cfRule type="cellIs" dxfId="9" priority="1" stopIfTrue="1" operator="notEqual">
      <formula>0</formula>
    </cfRule>
    <cfRule type="cellIs" dxfId="8" priority="2" stopIfTrue="1" operator="equal">
      <formula>""</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4F81BD"/>
    <outlinePr summaryBelow="0" summaryRight="0"/>
  </sheetPr>
  <dimension ref="A1:P6"/>
  <sheetViews>
    <sheetView showGridLines="0" zoomScale="80" workbookViewId="0">
      <selection activeCell="E2" sqref="E2:E5"/>
    </sheetView>
  </sheetViews>
  <sheetFormatPr defaultColWidth="0" defaultRowHeight="13"/>
  <cols>
    <col min="1" max="2" width="1.44140625" style="23" customWidth="1"/>
    <col min="3" max="3" width="1.44140625" style="48" customWidth="1"/>
    <col min="4" max="4" width="1.44140625" style="74" customWidth="1"/>
    <col min="5" max="5" width="71.44140625" customWidth="1"/>
    <col min="6" max="6" width="16.33203125" customWidth="1"/>
    <col min="7" max="7" width="15.109375" customWidth="1"/>
    <col min="8" max="8" width="15.109375" style="45" customWidth="1"/>
    <col min="9" max="9" width="3.44140625" customWidth="1"/>
    <col min="10" max="16" width="15.109375" customWidth="1"/>
    <col min="17" max="17" width="15.109375" hidden="1" customWidth="1"/>
    <col min="18" max="16384" width="15.109375" hidden="1"/>
  </cols>
  <sheetData>
    <row r="1" spans="1:16" s="73" customFormat="1" ht="25">
      <c r="A1" s="46" t="str">
        <f ca="1" xml:space="preserve"> RIGHT(CELL("filename", A1), LEN(CELL("filename", A1)) - SEARCH("]", CELL("filename", A1)))</f>
        <v>Results Table</v>
      </c>
      <c r="B1" s="76"/>
      <c r="C1" s="77"/>
      <c r="D1" s="70"/>
      <c r="F1" s="53" t="str">
        <f>HYPERLINK("#Contents!A1","Go to contents")</f>
        <v>Go to contents</v>
      </c>
      <c r="H1" s="50"/>
      <c r="J1" s="50"/>
    </row>
    <row r="2" spans="1:16" s="55" customFormat="1">
      <c r="A2" s="51"/>
      <c r="B2" s="51"/>
      <c r="C2" s="71"/>
      <c r="D2" s="72"/>
      <c r="E2" s="22" t="s">
        <v>331</v>
      </c>
      <c r="F2" s="52">
        <f ca="1" xml:space="preserve"> 'Model Checks and Alerts'!F11</f>
        <v>0</v>
      </c>
      <c r="G2" s="54" t="s">
        <v>144</v>
      </c>
      <c r="H2" s="49"/>
      <c r="I2" s="49"/>
      <c r="J2" s="6"/>
      <c r="K2" s="6"/>
      <c r="L2" s="6"/>
      <c r="M2" s="6"/>
      <c r="N2" s="6"/>
      <c r="O2" s="6"/>
      <c r="P2" s="6"/>
    </row>
    <row r="3" spans="1:16" s="32" customFormat="1">
      <c r="A3" s="51"/>
      <c r="B3" s="51"/>
      <c r="C3" s="71"/>
      <c r="D3" s="72"/>
      <c r="E3" s="41" t="s">
        <v>206</v>
      </c>
      <c r="F3" s="52"/>
      <c r="G3" s="54" t="s">
        <v>98</v>
      </c>
      <c r="H3" s="49"/>
      <c r="I3" s="49"/>
      <c r="J3" s="7"/>
      <c r="K3" s="7"/>
      <c r="L3" s="7"/>
      <c r="M3" s="7"/>
      <c r="N3" s="7"/>
      <c r="O3" s="7"/>
      <c r="P3" s="7"/>
    </row>
    <row r="4" spans="1:16" s="26" customFormat="1">
      <c r="A4" s="51"/>
      <c r="B4" s="51"/>
      <c r="C4" s="71"/>
      <c r="D4" s="72"/>
      <c r="E4" s="22" t="s">
        <v>332</v>
      </c>
      <c r="F4"/>
      <c r="G4"/>
      <c r="H4" s="49"/>
      <c r="I4" s="49"/>
    </row>
    <row r="5" spans="1:16" s="32" customFormat="1">
      <c r="A5" s="51"/>
      <c r="B5" s="51"/>
      <c r="C5" s="71"/>
      <c r="D5" s="72"/>
      <c r="E5" s="22" t="s">
        <v>312</v>
      </c>
      <c r="F5" s="23"/>
      <c r="G5" s="23" t="s">
        <v>228</v>
      </c>
      <c r="H5" s="23"/>
      <c r="I5" s="49"/>
      <c r="J5" s="15"/>
      <c r="K5" s="15"/>
      <c r="L5" s="15"/>
      <c r="M5" s="15"/>
      <c r="N5" s="15"/>
      <c r="O5" s="15"/>
      <c r="P5" s="15"/>
    </row>
    <row r="6" spans="1:16" s="45" customFormat="1">
      <c r="A6" s="23"/>
      <c r="B6" s="23"/>
      <c r="C6" s="48"/>
      <c r="D6" s="75"/>
      <c r="F6" s="23"/>
      <c r="G6" s="23"/>
      <c r="H6" s="23"/>
    </row>
  </sheetData>
  <conditionalFormatting sqref="J3:P3">
    <cfRule type="cellIs" dxfId="7" priority="6" stopIfTrue="1" operator="equal">
      <formula>"Construction"</formula>
    </cfRule>
    <cfRule type="cellIs" dxfId="6" priority="7" stopIfTrue="1" operator="equal">
      <formula>"Operations"</formula>
    </cfRule>
  </conditionalFormatting>
  <conditionalFormatting sqref="J3:P3">
    <cfRule type="cellIs" dxfId="5" priority="5" operator="equal">
      <formula>"Fin Close"</formula>
    </cfRule>
  </conditionalFormatting>
  <conditionalFormatting sqref="J3:P3">
    <cfRule type="cellIs" dxfId="4" priority="3" operator="equal">
      <formula>"PPA ext."</formula>
    </cfRule>
    <cfRule type="cellIs" dxfId="3" priority="4" operator="equal">
      <formula>"Delay"</formula>
    </cfRule>
  </conditionalFormatting>
  <conditionalFormatting sqref="F2:F3">
    <cfRule type="cellIs" dxfId="2" priority="1" stopIfTrue="1" operator="notEqual">
      <formula>0</formula>
    </cfRule>
    <cfRule type="cellIs" dxfId="1" priority="2" stopIfTrue="1" operator="equal">
      <formula>""</formula>
    </cfRule>
  </conditionalFormatting>
  <pageMargins left="0.7" right="0.7" top="0.75" bottom="0.75" header="0.3" footer="0.3"/>
  <customProperties>
    <customPr name="MMSheetType" r:id="rId1"/>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 outlineLevelRow="1"/>
  <cols>
    <col min="1" max="2" width="1.44140625" style="136" customWidth="1"/>
    <col min="3" max="3" width="1.44140625" style="184" customWidth="1"/>
    <col min="4" max="4" width="1.44140625" style="145" customWidth="1"/>
    <col min="5" max="5" width="47.33203125" style="47" customWidth="1"/>
    <col min="6" max="6" width="14.6640625" style="47" customWidth="1"/>
    <col min="7" max="7" width="13.44140625" style="47" customWidth="1"/>
    <col min="8" max="8" width="14.6640625" style="47" customWidth="1"/>
    <col min="9" max="9" width="3" style="108" customWidth="1"/>
    <col min="10" max="10" width="5.33203125" style="134" customWidth="1"/>
    <col min="11" max="11" width="13.44140625" style="194" customWidth="1"/>
    <col min="12" max="12" width="13.44140625" style="225" customWidth="1"/>
    <col min="13" max="13" width="0.44140625" style="116" customWidth="1"/>
    <col min="14" max="16" width="14.6640625" style="41" customWidth="1"/>
    <col min="17" max="17" width="0.44140625" style="116" customWidth="1"/>
    <col min="18" max="18" width="9.109375" style="115" hidden="1" customWidth="1"/>
    <col min="19" max="19" width="10.44140625" style="115" hidden="1" customWidth="1"/>
    <col min="20" max="16384" width="10.44140625" style="115" hidden="1"/>
  </cols>
  <sheetData>
    <row r="1" spans="1:17" ht="25">
      <c r="A1" s="263" t="s">
        <v>93</v>
      </c>
      <c r="B1" s="229"/>
      <c r="C1" s="238"/>
      <c r="D1" s="221"/>
      <c r="E1" s="69"/>
      <c r="F1" s="235"/>
      <c r="G1" s="69"/>
      <c r="H1" s="69"/>
      <c r="I1" s="247"/>
      <c r="J1" s="257"/>
      <c r="K1" s="262"/>
      <c r="L1" s="258"/>
      <c r="N1" s="142"/>
      <c r="O1" s="142"/>
      <c r="P1" s="142"/>
    </row>
    <row r="2" spans="1:17">
      <c r="A2" s="215"/>
      <c r="B2" s="105"/>
      <c r="C2" s="129"/>
      <c r="E2" s="265"/>
      <c r="F2" s="115"/>
      <c r="G2" s="115" t="s">
        <v>292</v>
      </c>
      <c r="H2" s="251">
        <f ca="1" xml:space="preserve"> TODAY()</f>
        <v>45005</v>
      </c>
      <c r="J2" s="219">
        <f xml:space="preserve"> COUNTIF(J6:J24, "tu")</f>
        <v>0</v>
      </c>
      <c r="N2" s="148"/>
      <c r="O2" s="148"/>
      <c r="P2" s="148"/>
    </row>
    <row r="3" spans="1:17" s="194" customFormat="1" ht="12.5">
      <c r="A3" s="97"/>
      <c r="B3" s="97"/>
      <c r="C3" s="129"/>
      <c r="D3" s="145"/>
      <c r="E3" s="265"/>
      <c r="G3" s="194" t="s">
        <v>43</v>
      </c>
      <c r="H3" s="243" t="s">
        <v>230</v>
      </c>
      <c r="I3" s="129"/>
      <c r="J3" s="292"/>
      <c r="K3" s="185"/>
      <c r="L3" s="192"/>
      <c r="M3" s="162"/>
      <c r="N3" s="152"/>
      <c r="O3" s="152"/>
      <c r="P3" s="152"/>
      <c r="Q3" s="162"/>
    </row>
    <row r="4" spans="1:17">
      <c r="A4" s="105"/>
      <c r="B4" s="105"/>
      <c r="C4" s="129"/>
      <c r="E4" s="122"/>
      <c r="F4" s="115"/>
      <c r="G4" s="115"/>
      <c r="H4" s="233"/>
      <c r="I4" s="129"/>
      <c r="J4" s="292"/>
      <c r="N4" s="122"/>
      <c r="O4" s="122"/>
      <c r="P4" s="122"/>
    </row>
    <row r="5" spans="1:17">
      <c r="A5" s="105"/>
      <c r="B5" s="105"/>
      <c r="C5" s="129"/>
      <c r="D5" s="122"/>
      <c r="E5" s="97" t="s">
        <v>229</v>
      </c>
      <c r="F5" s="121"/>
      <c r="G5" s="260" t="s">
        <v>228</v>
      </c>
      <c r="H5" s="293">
        <v>1</v>
      </c>
      <c r="I5" s="97"/>
      <c r="J5" s="132">
        <f xml:space="preserve"> MATCH($H$5, M5:Q5, 0)</f>
        <v>2</v>
      </c>
      <c r="K5" s="185" t="s">
        <v>207</v>
      </c>
      <c r="L5" s="192" t="s">
        <v>120</v>
      </c>
      <c r="N5" s="143">
        <v>1</v>
      </c>
      <c r="O5" s="143">
        <v>2</v>
      </c>
      <c r="P5" s="143">
        <v>3</v>
      </c>
    </row>
    <row r="6" spans="1:17" s="259" customFormat="1">
      <c r="A6" s="172"/>
      <c r="B6" s="172"/>
      <c r="C6" s="273"/>
      <c r="D6" s="264"/>
      <c r="E6" s="249" t="s">
        <v>184</v>
      </c>
      <c r="F6" s="253"/>
      <c r="G6" s="113"/>
      <c r="H6" s="113"/>
      <c r="I6" s="113"/>
      <c r="J6" s="161"/>
      <c r="K6" s="244"/>
      <c r="L6" s="125"/>
      <c r="M6" s="116"/>
      <c r="N6" s="113"/>
      <c r="O6" s="113"/>
      <c r="P6" s="113"/>
      <c r="Q6" s="116"/>
    </row>
    <row r="7" spans="1:17" s="281" customFormat="1">
      <c r="A7" s="105"/>
      <c r="B7" s="105"/>
      <c r="C7" s="129"/>
      <c r="D7" s="121"/>
      <c r="E7" s="286"/>
      <c r="F7" s="178"/>
      <c r="G7" s="108"/>
      <c r="H7" s="108"/>
      <c r="I7" s="108"/>
      <c r="J7" s="132"/>
      <c r="K7" s="241"/>
      <c r="L7" s="181"/>
      <c r="M7" s="116"/>
      <c r="N7" s="108"/>
      <c r="O7" s="108"/>
      <c r="P7" s="108"/>
      <c r="Q7" s="116"/>
    </row>
    <row r="8" spans="1:17" s="281" customFormat="1">
      <c r="A8" s="105" t="s">
        <v>255</v>
      </c>
      <c r="B8" s="105"/>
      <c r="C8" s="129"/>
      <c r="D8" s="121"/>
      <c r="E8" s="108"/>
      <c r="F8" s="178"/>
      <c r="G8" s="108"/>
      <c r="H8" s="108"/>
      <c r="I8" s="108"/>
      <c r="J8" s="159"/>
      <c r="K8" s="268"/>
      <c r="L8" s="110"/>
      <c r="M8" s="116"/>
      <c r="N8" s="97"/>
      <c r="O8" s="97"/>
      <c r="P8" s="97"/>
      <c r="Q8" s="285"/>
    </row>
    <row r="9" spans="1:17" outlineLevel="1">
      <c r="A9" s="105"/>
      <c r="B9" s="105"/>
      <c r="C9" s="129"/>
      <c r="D9" s="121"/>
      <c r="L9" s="127"/>
      <c r="N9" s="117"/>
      <c r="O9" s="117"/>
      <c r="P9" s="117"/>
    </row>
    <row r="10" spans="1:17" s="127" customFormat="1" outlineLevel="1">
      <c r="A10" s="128"/>
      <c r="B10" s="128"/>
      <c r="C10" s="110"/>
      <c r="D10" s="110"/>
      <c r="E10" s="118"/>
      <c r="F10" s="205"/>
      <c r="G10" s="118"/>
      <c r="H10" s="118"/>
      <c r="I10" s="204"/>
      <c r="J10" s="159" t="s">
        <v>158</v>
      </c>
      <c r="K10" s="110">
        <f t="shared" ref="K10:K13" si="0" xml:space="preserve"> H10 - INDEX(M10:Q10, $J$5)</f>
        <v>0</v>
      </c>
      <c r="L10" s="110">
        <v>0</v>
      </c>
      <c r="M10" s="125"/>
      <c r="N10" s="119"/>
      <c r="O10" s="119"/>
      <c r="P10" s="119"/>
      <c r="Q10" s="125"/>
    </row>
    <row r="11" spans="1:17" s="275" customFormat="1" outlineLevel="1">
      <c r="A11" s="176"/>
      <c r="B11" s="176"/>
      <c r="C11" s="141"/>
      <c r="D11" s="141"/>
      <c r="E11" s="151"/>
      <c r="F11" s="252"/>
      <c r="G11" s="151"/>
      <c r="H11" s="151"/>
      <c r="I11" s="212"/>
      <c r="J11" s="159" t="s">
        <v>158</v>
      </c>
      <c r="K11" s="141">
        <f t="shared" si="0"/>
        <v>0</v>
      </c>
      <c r="L11" s="110">
        <v>0</v>
      </c>
      <c r="M11" s="177"/>
      <c r="N11" s="153"/>
      <c r="O11" s="153"/>
      <c r="P11" s="153"/>
      <c r="Q11" s="177"/>
    </row>
    <row r="12" spans="1:17" s="275" customFormat="1" outlineLevel="1">
      <c r="A12" s="176"/>
      <c r="B12" s="176"/>
      <c r="C12" s="141"/>
      <c r="D12" s="141"/>
      <c r="E12" s="151"/>
      <c r="F12" s="252"/>
      <c r="G12" s="151"/>
      <c r="H12" s="151"/>
      <c r="I12" s="212"/>
      <c r="J12" s="159" t="s">
        <v>158</v>
      </c>
      <c r="K12" s="141">
        <f t="shared" si="0"/>
        <v>0</v>
      </c>
      <c r="L12" s="110">
        <v>0</v>
      </c>
      <c r="M12" s="177"/>
      <c r="N12" s="153"/>
      <c r="O12" s="153"/>
      <c r="P12" s="153"/>
      <c r="Q12" s="177"/>
    </row>
    <row r="13" spans="1:17" s="127" customFormat="1" outlineLevel="1">
      <c r="A13" s="128"/>
      <c r="B13" s="128"/>
      <c r="C13" s="110"/>
      <c r="D13" s="110"/>
      <c r="E13" s="118"/>
      <c r="F13" s="205"/>
      <c r="G13" s="118"/>
      <c r="H13" s="118"/>
      <c r="I13" s="204"/>
      <c r="J13" s="159" t="s">
        <v>158</v>
      </c>
      <c r="K13" s="110">
        <f t="shared" si="0"/>
        <v>0</v>
      </c>
      <c r="L13" s="110">
        <v>0</v>
      </c>
      <c r="M13" s="125"/>
      <c r="N13" s="119"/>
      <c r="O13" s="119"/>
      <c r="P13" s="119"/>
      <c r="Q13" s="125"/>
    </row>
    <row r="14" spans="1:17" outlineLevel="1">
      <c r="A14" s="105"/>
      <c r="B14" s="105"/>
      <c r="C14" s="97"/>
      <c r="D14" s="121"/>
      <c r="E14" s="108"/>
      <c r="F14" s="178"/>
      <c r="G14" s="256"/>
      <c r="H14" s="181"/>
      <c r="I14" s="242"/>
      <c r="L14" s="127"/>
      <c r="M14" s="174"/>
      <c r="N14" s="117"/>
      <c r="O14" s="117"/>
      <c r="P14" s="117"/>
      <c r="Q14" s="174"/>
    </row>
    <row r="15" spans="1:17">
      <c r="A15" s="207"/>
      <c r="B15" s="207"/>
      <c r="C15" s="239"/>
      <c r="D15" s="283"/>
      <c r="E15" s="157"/>
      <c r="F15" s="157"/>
      <c r="G15" s="157"/>
      <c r="H15" s="288"/>
      <c r="I15" s="97"/>
      <c r="L15" s="127"/>
      <c r="M15" s="158"/>
      <c r="N15" s="117"/>
      <c r="O15" s="117"/>
      <c r="P15" s="117"/>
      <c r="Q15" s="158"/>
    </row>
    <row r="16" spans="1:17">
      <c r="A16" s="207"/>
      <c r="B16" s="207"/>
      <c r="C16" s="239"/>
      <c r="D16" s="283"/>
      <c r="E16" s="157"/>
      <c r="F16" s="157"/>
      <c r="G16" s="157"/>
      <c r="H16" s="288"/>
      <c r="I16" s="97"/>
      <c r="L16" s="127"/>
      <c r="M16" s="158"/>
      <c r="N16" s="117"/>
      <c r="O16" s="117"/>
      <c r="P16" s="117"/>
      <c r="Q16" s="158"/>
    </row>
    <row r="17" spans="1:17" s="230" customFormat="1" outlineLevel="1">
      <c r="A17" s="121"/>
      <c r="B17" s="207"/>
      <c r="C17" s="97"/>
      <c r="D17" s="97"/>
      <c r="E17" s="120"/>
      <c r="F17" s="120"/>
      <c r="G17" s="120"/>
      <c r="H17" s="120"/>
      <c r="I17" s="120"/>
      <c r="J17" s="210"/>
      <c r="L17" s="222"/>
      <c r="M17" s="199"/>
      <c r="N17" s="155"/>
      <c r="O17" s="155"/>
      <c r="P17" s="155"/>
      <c r="Q17" s="199"/>
    </row>
    <row r="18" spans="1:17" s="140" customFormat="1">
      <c r="A18" s="121"/>
      <c r="B18" s="207"/>
      <c r="C18" s="97"/>
      <c r="D18" s="97"/>
      <c r="E18" s="120"/>
      <c r="F18" s="120"/>
      <c r="G18" s="120"/>
      <c r="H18" s="120"/>
      <c r="I18" s="120"/>
      <c r="J18" s="134"/>
      <c r="L18" s="167"/>
      <c r="M18" s="168"/>
      <c r="N18" s="155"/>
      <c r="O18" s="155"/>
      <c r="P18" s="155"/>
      <c r="Q18" s="168"/>
    </row>
    <row r="19" spans="1:17" s="198" customFormat="1">
      <c r="A19" s="105" t="s">
        <v>330</v>
      </c>
      <c r="B19" s="97"/>
      <c r="C19" s="97"/>
      <c r="D19" s="97"/>
      <c r="E19" s="106"/>
      <c r="F19" s="191"/>
      <c r="G19" s="106"/>
      <c r="H19" s="106"/>
      <c r="I19" s="106"/>
      <c r="J19" s="132"/>
      <c r="L19" s="217"/>
      <c r="M19" s="168"/>
      <c r="N19" s="147"/>
      <c r="O19" s="147"/>
      <c r="P19" s="147"/>
      <c r="Q19" s="168"/>
    </row>
    <row r="20" spans="1:17" s="140" customFormat="1" outlineLevel="1">
      <c r="A20" s="201"/>
      <c r="B20" s="201"/>
      <c r="C20" s="232"/>
      <c r="D20" s="220"/>
      <c r="E20" s="278" t="s">
        <v>145</v>
      </c>
      <c r="F20" s="89"/>
      <c r="G20" s="228"/>
      <c r="H20" s="226">
        <f ca="1" xml:space="preserve"> NOW()</f>
        <v>45005.823682523151</v>
      </c>
      <c r="I20" s="106"/>
      <c r="J20" s="134"/>
      <c r="K20" s="198"/>
      <c r="L20" s="217"/>
      <c r="M20" s="168"/>
      <c r="N20" s="154"/>
      <c r="O20" s="154"/>
      <c r="P20" s="154"/>
      <c r="Q20" s="168"/>
    </row>
    <row r="21" spans="1:17" s="140" customFormat="1" outlineLevel="1">
      <c r="A21" s="105"/>
      <c r="B21" s="105"/>
      <c r="C21" s="129"/>
      <c r="D21" s="97"/>
      <c r="E21" s="22" t="s">
        <v>274</v>
      </c>
      <c r="F21" s="89"/>
      <c r="G21" s="22"/>
      <c r="H21" s="214" t="str">
        <f ca="1" xml:space="preserve"> MID(CELL("filename",$A$1), SEARCH("[", CELL("filename",$A$1)) + 1, SEARCH("]", CELL("filename",$A$1)) - SEARCH("[", CELL("filename",$A$1)) - 1)</f>
        <v>Aquarate.xlsx</v>
      </c>
      <c r="I21" s="106"/>
      <c r="J21" s="134"/>
      <c r="K21" s="198"/>
      <c r="L21" s="217"/>
      <c r="M21" s="168"/>
      <c r="N21" s="149"/>
      <c r="O21" s="149"/>
      <c r="P21" s="149"/>
      <c r="Q21" s="168"/>
    </row>
    <row r="22" spans="1:17" s="140" customFormat="1" outlineLevel="1">
      <c r="A22" s="105"/>
      <c r="B22" s="105"/>
      <c r="C22" s="129"/>
      <c r="D22" s="121"/>
      <c r="E22" s="280"/>
      <c r="F22" s="191"/>
      <c r="G22" s="106"/>
      <c r="H22" s="106"/>
      <c r="I22" s="106"/>
      <c r="J22" s="132"/>
      <c r="K22" s="198"/>
      <c r="L22" s="217"/>
      <c r="M22" s="168"/>
      <c r="N22" s="106"/>
      <c r="O22" s="106"/>
      <c r="P22" s="106"/>
      <c r="Q22" s="168"/>
    </row>
    <row r="23" spans="1:17" s="140" customFormat="1">
      <c r="A23" s="105"/>
      <c r="B23" s="105"/>
      <c r="C23" s="129"/>
      <c r="D23" s="121"/>
      <c r="E23" s="280"/>
      <c r="F23" s="191"/>
      <c r="G23" s="106"/>
      <c r="H23" s="106"/>
      <c r="I23" s="106"/>
      <c r="J23" s="132"/>
      <c r="K23" s="198"/>
      <c r="L23" s="217"/>
      <c r="M23" s="168"/>
      <c r="N23" s="106"/>
      <c r="O23" s="106"/>
      <c r="P23" s="106"/>
      <c r="Q23" s="168"/>
    </row>
    <row r="24" spans="1:17" s="284" customFormat="1">
      <c r="A24" s="160"/>
      <c r="B24" s="160"/>
      <c r="C24" s="282"/>
      <c r="D24" s="254"/>
      <c r="E24" s="227" t="s">
        <v>184</v>
      </c>
      <c r="F24" s="216"/>
      <c r="G24" s="183"/>
      <c r="H24" s="183"/>
      <c r="I24" s="274"/>
      <c r="J24" s="161" t="s">
        <v>67</v>
      </c>
      <c r="L24" s="223"/>
      <c r="M24" s="168"/>
      <c r="N24" s="156"/>
      <c r="O24" s="156"/>
      <c r="P24" s="156"/>
      <c r="Q24" s="168"/>
    </row>
    <row r="25" spans="1:17" s="140" customFormat="1">
      <c r="A25" s="136"/>
      <c r="B25" s="136"/>
      <c r="C25" s="184"/>
      <c r="D25" s="145"/>
      <c r="E25" s="22"/>
      <c r="F25" s="22"/>
      <c r="G25" s="22"/>
      <c r="H25" s="22"/>
      <c r="I25" s="106"/>
      <c r="J25" s="134"/>
      <c r="L25" s="167"/>
      <c r="M25" s="168"/>
      <c r="N25" s="22"/>
      <c r="O25" s="22"/>
      <c r="P25" s="22"/>
      <c r="Q25" s="168"/>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C338"/>
  <sheetViews>
    <sheetView showGridLines="0" workbookViewId="0">
      <selection activeCell="G11" sqref="G11"/>
    </sheetView>
  </sheetViews>
  <sheetFormatPr defaultColWidth="0" defaultRowHeight="10"/>
  <cols>
    <col min="1" max="1" width="19.44140625" style="130" customWidth="1"/>
    <col min="2" max="2" width="42.33203125" style="130" customWidth="1"/>
    <col min="3" max="3" width="47.77734375" style="130" customWidth="1"/>
    <col min="4" max="4" width="21" style="130" bestFit="1" customWidth="1"/>
    <col min="5" max="5" width="18.6640625" style="130" bestFit="1" customWidth="1"/>
    <col min="6" max="6" width="19.77734375" style="130" bestFit="1" customWidth="1"/>
    <col min="7" max="7" width="23.44140625" style="130" bestFit="1" customWidth="1"/>
    <col min="8" max="8" width="104" style="130" customWidth="1"/>
    <col min="9" max="26" width="9.33203125" style="130" customWidth="1"/>
    <col min="27" max="55" width="9.109375" style="130" hidden="1" customWidth="1"/>
    <col min="56" max="56" width="9.33203125" style="130" hidden="1" customWidth="1"/>
    <col min="57" max="16384" width="9.33203125" style="130" hidden="1"/>
  </cols>
  <sheetData>
    <row r="1" spans="1:55" ht="25">
      <c r="A1" s="46" t="str">
        <f ca="1" xml:space="preserve"> RIGHT(CELL("filename", A1), LEN(CELL("filename", A1)) - SEARCH("]", CELL("filename", A1)))</f>
        <v>Issues</v>
      </c>
    </row>
    <row r="5" spans="1:55" ht="18">
      <c r="A5" s="24" t="s">
        <v>44</v>
      </c>
      <c r="B5" s="24" t="s">
        <v>160</v>
      </c>
      <c r="C5" s="24" t="s">
        <v>232</v>
      </c>
      <c r="D5" s="24" t="s">
        <v>45</v>
      </c>
      <c r="E5" s="24" t="s">
        <v>1</v>
      </c>
      <c r="F5" s="24" t="s">
        <v>146</v>
      </c>
      <c r="G5" s="24" t="s">
        <v>96</v>
      </c>
      <c r="H5" s="24" t="s">
        <v>97</v>
      </c>
      <c r="I5" s="24"/>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5">
      <c r="A6" s="45"/>
      <c r="B6" s="45"/>
      <c r="C6" s="45"/>
      <c r="D6" s="224"/>
      <c r="E6" s="45"/>
      <c r="F6" s="45"/>
      <c r="G6" s="45"/>
      <c r="H6" s="45"/>
      <c r="I6" s="206"/>
      <c r="J6" s="206"/>
    </row>
    <row r="7" spans="1:55" ht="12.5">
      <c r="A7" s="45"/>
      <c r="B7" s="45"/>
      <c r="C7" s="45"/>
      <c r="D7" s="45"/>
      <c r="E7" s="45"/>
      <c r="F7" s="45"/>
      <c r="G7" s="45"/>
      <c r="H7" s="45"/>
      <c r="I7" s="206"/>
      <c r="J7" s="206"/>
    </row>
    <row r="8" spans="1:55" ht="12.5">
      <c r="A8" s="45"/>
      <c r="B8" s="45"/>
      <c r="C8" s="45"/>
      <c r="D8" s="45"/>
      <c r="E8" s="45"/>
      <c r="F8" s="45"/>
      <c r="G8" s="45"/>
      <c r="H8" s="45"/>
      <c r="I8" s="206"/>
      <c r="J8" s="206"/>
    </row>
    <row r="9" spans="1:55" ht="12.5">
      <c r="A9" s="45"/>
      <c r="B9" s="45"/>
      <c r="C9" s="45"/>
      <c r="D9" s="45"/>
      <c r="E9" s="45"/>
      <c r="F9" s="45"/>
      <c r="G9" s="45"/>
      <c r="H9" s="45"/>
      <c r="I9" s="206"/>
      <c r="J9" s="206"/>
    </row>
    <row r="10" spans="1:55" ht="12.5">
      <c r="A10" s="45"/>
      <c r="B10" s="45"/>
      <c r="C10" s="45"/>
      <c r="D10" s="45"/>
      <c r="E10" s="45"/>
      <c r="F10" s="45"/>
      <c r="G10" s="45"/>
      <c r="H10" s="45"/>
      <c r="I10" s="206"/>
      <c r="J10" s="206"/>
    </row>
    <row r="11" spans="1:55" ht="12.5">
      <c r="A11" s="45"/>
      <c r="B11" s="45"/>
      <c r="C11" s="45"/>
      <c r="D11" s="45"/>
      <c r="E11" s="45"/>
      <c r="F11" s="45"/>
      <c r="G11" s="45"/>
      <c r="H11" s="45"/>
      <c r="I11" s="206"/>
      <c r="J11" s="206"/>
    </row>
    <row r="12" spans="1:55" ht="12.5">
      <c r="A12" s="45"/>
      <c r="B12" s="45"/>
      <c r="C12" s="45"/>
      <c r="D12" s="45"/>
      <c r="E12" s="45"/>
      <c r="F12" s="45"/>
      <c r="G12" s="45"/>
      <c r="H12" s="45"/>
      <c r="I12" s="206"/>
      <c r="J12" s="206"/>
    </row>
    <row r="13" spans="1:55" ht="12.5">
      <c r="A13" s="45"/>
      <c r="B13" s="45"/>
      <c r="C13" s="45"/>
      <c r="D13" s="45"/>
      <c r="E13" s="45"/>
      <c r="F13" s="45"/>
      <c r="G13" s="45"/>
      <c r="H13" s="45"/>
      <c r="I13" s="206"/>
      <c r="J13" s="206"/>
    </row>
    <row r="14" spans="1:55" ht="12.5">
      <c r="A14" s="45"/>
      <c r="B14" s="45"/>
      <c r="C14" s="45"/>
      <c r="D14" s="45"/>
      <c r="E14" s="45"/>
      <c r="F14" s="45"/>
      <c r="G14" s="45"/>
      <c r="H14" s="45"/>
      <c r="I14" s="206"/>
      <c r="J14" s="206"/>
    </row>
    <row r="15" spans="1:55" ht="12.5">
      <c r="A15" s="45"/>
      <c r="B15" s="45"/>
      <c r="C15" s="45"/>
      <c r="D15" s="45"/>
      <c r="E15" s="45"/>
      <c r="F15" s="45"/>
      <c r="G15" s="45"/>
      <c r="H15" s="45"/>
      <c r="I15" s="206"/>
      <c r="J15" s="206"/>
    </row>
    <row r="16" spans="1:55" ht="12.5">
      <c r="A16" s="45"/>
      <c r="B16" s="45"/>
      <c r="C16" s="45"/>
      <c r="D16" s="45"/>
      <c r="E16" s="45"/>
      <c r="F16" s="45"/>
      <c r="G16" s="45"/>
      <c r="H16" s="45"/>
      <c r="I16" s="206"/>
      <c r="J16" s="206"/>
    </row>
    <row r="17" spans="1:10" ht="12.5">
      <c r="A17" s="45"/>
      <c r="B17" s="45"/>
      <c r="C17" s="45"/>
      <c r="D17" s="45"/>
      <c r="E17" s="45"/>
      <c r="F17" s="45"/>
      <c r="G17" s="45"/>
      <c r="H17" s="45"/>
      <c r="I17" s="206"/>
      <c r="J17" s="206"/>
    </row>
    <row r="18" spans="1:10" ht="12.5">
      <c r="A18" s="45"/>
      <c r="B18" s="45"/>
      <c r="C18" s="45"/>
      <c r="D18" s="45"/>
      <c r="E18" s="45"/>
      <c r="F18" s="45"/>
      <c r="G18" s="45"/>
      <c r="H18" s="45"/>
      <c r="I18" s="206"/>
      <c r="J18" s="206"/>
    </row>
    <row r="19" spans="1:10" ht="12.5">
      <c r="A19" s="45"/>
      <c r="B19" s="45"/>
      <c r="C19" s="45"/>
      <c r="D19" s="45"/>
      <c r="E19" s="45"/>
      <c r="F19" s="45"/>
      <c r="G19" s="45"/>
      <c r="H19" s="45"/>
      <c r="I19" s="206"/>
      <c r="J19" s="206"/>
    </row>
    <row r="20" spans="1:10" ht="12.5">
      <c r="A20" s="45"/>
      <c r="B20" s="45"/>
      <c r="C20" s="45"/>
      <c r="D20" s="45"/>
      <c r="E20" s="45"/>
      <c r="F20" s="45"/>
      <c r="G20" s="45"/>
      <c r="H20" s="45"/>
      <c r="I20" s="206"/>
      <c r="J20" s="206"/>
    </row>
    <row r="21" spans="1:10" ht="12.5">
      <c r="A21" s="45"/>
      <c r="B21" s="45"/>
      <c r="C21" s="45"/>
      <c r="D21" s="45"/>
      <c r="E21" s="45"/>
      <c r="F21" s="45"/>
      <c r="G21" s="45"/>
      <c r="H21" s="45"/>
      <c r="I21" s="206"/>
      <c r="J21" s="206"/>
    </row>
    <row r="22" spans="1:10" ht="12.5">
      <c r="A22" s="45"/>
      <c r="B22" s="45"/>
      <c r="C22" s="45"/>
      <c r="D22" s="45"/>
      <c r="E22" s="45"/>
      <c r="F22" s="45"/>
      <c r="G22" s="45"/>
      <c r="H22" s="45"/>
      <c r="I22" s="206"/>
      <c r="J22" s="206"/>
    </row>
    <row r="23" spans="1:10" ht="12.5">
      <c r="A23" s="45"/>
      <c r="B23" s="45"/>
      <c r="C23" s="45"/>
      <c r="D23" s="45"/>
      <c r="E23" s="45"/>
      <c r="F23" s="45"/>
      <c r="G23" s="45"/>
      <c r="H23" s="45"/>
      <c r="I23" s="206"/>
      <c r="J23" s="206"/>
    </row>
    <row r="24" spans="1:10" ht="12.5">
      <c r="A24" s="45"/>
      <c r="B24" s="45"/>
      <c r="C24" s="45"/>
      <c r="D24" s="45"/>
      <c r="E24" s="45"/>
      <c r="F24" s="45"/>
      <c r="G24" s="45"/>
      <c r="H24" s="45"/>
      <c r="I24" s="206"/>
      <c r="J24" s="206"/>
    </row>
    <row r="25" spans="1:10" ht="12.5">
      <c r="A25" s="45"/>
      <c r="B25" s="45"/>
      <c r="C25" s="45"/>
      <c r="D25" s="45"/>
      <c r="E25" s="45"/>
      <c r="F25" s="45"/>
      <c r="G25" s="45"/>
      <c r="H25" s="45"/>
      <c r="I25" s="206"/>
      <c r="J25" s="206"/>
    </row>
    <row r="26" spans="1:10" ht="12.5">
      <c r="A26" s="45"/>
      <c r="B26" s="45"/>
      <c r="C26" s="45"/>
      <c r="D26" s="45"/>
      <c r="E26" s="45"/>
      <c r="F26" s="45"/>
      <c r="G26" s="45"/>
      <c r="H26" s="45"/>
      <c r="I26" s="206"/>
      <c r="J26" s="206"/>
    </row>
    <row r="27" spans="1:10" ht="12.5">
      <c r="A27" s="45"/>
      <c r="B27" s="45"/>
      <c r="C27" s="45"/>
      <c r="D27" s="45"/>
      <c r="E27" s="45"/>
      <c r="F27" s="45"/>
      <c r="G27" s="45"/>
      <c r="H27" s="45"/>
      <c r="I27" s="206"/>
      <c r="J27" s="206"/>
    </row>
    <row r="28" spans="1:10" ht="12.5">
      <c r="A28" s="45"/>
      <c r="B28" s="45"/>
      <c r="C28" s="45"/>
      <c r="D28" s="45"/>
      <c r="E28" s="45"/>
      <c r="F28" s="45"/>
      <c r="G28" s="45"/>
      <c r="H28" s="45"/>
      <c r="I28" s="206"/>
      <c r="J28" s="206"/>
    </row>
    <row r="29" spans="1:10" ht="12.5">
      <c r="A29" s="45"/>
      <c r="B29" s="45"/>
      <c r="C29" s="45"/>
      <c r="D29" s="45"/>
      <c r="E29" s="45"/>
      <c r="F29" s="45"/>
      <c r="G29" s="45"/>
      <c r="H29" s="45"/>
      <c r="I29" s="206"/>
      <c r="J29" s="206"/>
    </row>
    <row r="30" spans="1:10" ht="12.5">
      <c r="A30" s="45"/>
      <c r="B30" s="45"/>
      <c r="C30" s="45"/>
      <c r="D30" s="45"/>
      <c r="E30" s="45"/>
      <c r="F30" s="45"/>
      <c r="G30" s="45"/>
      <c r="H30" s="45"/>
      <c r="I30" s="206"/>
      <c r="J30" s="206"/>
    </row>
    <row r="31" spans="1:10" ht="12.5">
      <c r="A31" s="45"/>
      <c r="B31" s="45"/>
      <c r="C31" s="45"/>
      <c r="D31" s="45"/>
      <c r="E31" s="45"/>
      <c r="F31" s="45"/>
      <c r="G31" s="45"/>
      <c r="H31" s="45"/>
      <c r="I31" s="206"/>
      <c r="J31" s="206"/>
    </row>
    <row r="32" spans="1:10" ht="12.5">
      <c r="A32" s="45"/>
      <c r="B32" s="45"/>
      <c r="C32" s="45"/>
      <c r="D32" s="45"/>
      <c r="E32" s="45"/>
      <c r="F32" s="45"/>
      <c r="G32" s="45"/>
      <c r="H32" s="45"/>
      <c r="I32" s="206"/>
      <c r="J32" s="206"/>
    </row>
    <row r="33" spans="1:10" ht="12.5">
      <c r="A33" s="45"/>
      <c r="B33" s="45"/>
      <c r="C33" s="45"/>
      <c r="D33" s="45"/>
      <c r="E33" s="45"/>
      <c r="F33" s="45"/>
      <c r="G33" s="45"/>
      <c r="H33" s="45"/>
      <c r="I33" s="206"/>
      <c r="J33" s="206"/>
    </row>
    <row r="34" spans="1:10" ht="12.5">
      <c r="A34" s="45"/>
      <c r="B34" s="45"/>
      <c r="C34" s="45"/>
      <c r="D34" s="45"/>
      <c r="E34" s="45"/>
      <c r="F34" s="45"/>
      <c r="G34" s="45"/>
      <c r="H34" s="45"/>
      <c r="I34" s="206"/>
      <c r="J34" s="206"/>
    </row>
    <row r="35" spans="1:10" ht="12.5">
      <c r="A35" s="45"/>
      <c r="B35" s="45"/>
      <c r="C35" s="45"/>
      <c r="D35" s="45"/>
      <c r="E35" s="45"/>
      <c r="F35" s="45"/>
      <c r="G35" s="45"/>
      <c r="H35" s="45"/>
      <c r="I35" s="206"/>
      <c r="J35" s="206"/>
    </row>
    <row r="36" spans="1:10" ht="12.5">
      <c r="A36" s="45"/>
      <c r="B36" s="45"/>
      <c r="C36" s="45"/>
      <c r="D36" s="45"/>
      <c r="E36" s="45"/>
      <c r="F36" s="45"/>
      <c r="G36" s="45"/>
      <c r="H36" s="45"/>
      <c r="I36" s="206"/>
      <c r="J36" s="206"/>
    </row>
    <row r="37" spans="1:10" ht="12.5">
      <c r="A37" s="45"/>
      <c r="B37" s="45"/>
      <c r="C37" s="45"/>
      <c r="D37" s="45"/>
      <c r="E37" s="45"/>
      <c r="F37" s="45"/>
      <c r="G37" s="45"/>
      <c r="H37" s="45"/>
      <c r="I37" s="206"/>
      <c r="J37" s="206"/>
    </row>
    <row r="38" spans="1:10" ht="12.5">
      <c r="A38" s="45"/>
      <c r="B38" s="45"/>
      <c r="C38" s="45"/>
      <c r="D38" s="45"/>
      <c r="E38" s="45"/>
      <c r="F38" s="45"/>
      <c r="G38" s="45"/>
      <c r="H38" s="45"/>
      <c r="I38" s="206"/>
      <c r="J38" s="206"/>
    </row>
    <row r="39" spans="1:10" ht="12.5">
      <c r="A39" s="45"/>
      <c r="B39" s="45"/>
      <c r="C39" s="45"/>
      <c r="D39" s="45"/>
      <c r="E39" s="45"/>
      <c r="F39" s="45"/>
      <c r="G39" s="45"/>
      <c r="H39" s="45"/>
      <c r="I39" s="206"/>
      <c r="J39" s="206"/>
    </row>
    <row r="40" spans="1:10" ht="12.5">
      <c r="A40" s="45"/>
      <c r="B40" s="45"/>
      <c r="C40" s="45"/>
      <c r="D40" s="45"/>
      <c r="E40" s="45"/>
      <c r="F40" s="45"/>
      <c r="G40" s="45"/>
      <c r="H40" s="45"/>
      <c r="I40" s="206"/>
      <c r="J40" s="206"/>
    </row>
    <row r="41" spans="1:10" ht="12.5">
      <c r="A41" s="45"/>
      <c r="B41" s="45"/>
      <c r="C41" s="45"/>
      <c r="D41" s="45"/>
      <c r="E41" s="45"/>
      <c r="F41" s="45"/>
      <c r="G41" s="45"/>
      <c r="H41" s="45"/>
      <c r="I41" s="206"/>
      <c r="J41" s="206"/>
    </row>
    <row r="42" spans="1:10" ht="12.5">
      <c r="A42" s="45"/>
      <c r="B42" s="45"/>
      <c r="C42" s="45"/>
      <c r="D42" s="45"/>
      <c r="E42" s="45"/>
      <c r="F42" s="45"/>
      <c r="G42" s="45"/>
      <c r="H42" s="45"/>
      <c r="I42" s="206"/>
      <c r="J42" s="206"/>
    </row>
    <row r="43" spans="1:10" ht="12.5">
      <c r="A43" s="45"/>
      <c r="B43" s="45"/>
      <c r="C43" s="45"/>
      <c r="D43" s="45"/>
      <c r="E43" s="45"/>
      <c r="F43" s="45"/>
      <c r="G43" s="45"/>
      <c r="H43" s="45"/>
      <c r="I43" s="206"/>
      <c r="J43" s="206"/>
    </row>
    <row r="44" spans="1:10" ht="12.5">
      <c r="A44" s="45"/>
      <c r="B44" s="45"/>
      <c r="C44" s="45"/>
      <c r="D44" s="45"/>
      <c r="E44" s="45"/>
      <c r="F44" s="45"/>
      <c r="G44" s="45"/>
      <c r="H44" s="45"/>
      <c r="I44" s="206"/>
      <c r="J44" s="206"/>
    </row>
    <row r="45" spans="1:10" ht="12.5">
      <c r="A45" s="45"/>
      <c r="B45" s="45"/>
      <c r="C45" s="45"/>
      <c r="D45" s="45"/>
      <c r="E45" s="45"/>
      <c r="F45" s="45"/>
      <c r="G45" s="45"/>
      <c r="H45" s="45"/>
      <c r="I45" s="206"/>
      <c r="J45" s="206"/>
    </row>
    <row r="46" spans="1:10" ht="12.5">
      <c r="A46" s="45"/>
      <c r="B46" s="45"/>
      <c r="C46" s="45"/>
      <c r="D46" s="45"/>
      <c r="E46" s="45"/>
      <c r="F46" s="45"/>
      <c r="G46" s="45"/>
      <c r="H46" s="45"/>
      <c r="I46" s="206"/>
      <c r="J46" s="206"/>
    </row>
    <row r="47" spans="1:10" ht="12.5">
      <c r="A47" s="45"/>
      <c r="B47" s="45"/>
      <c r="C47" s="45"/>
      <c r="D47" s="45"/>
      <c r="E47" s="45"/>
      <c r="F47" s="45"/>
      <c r="G47" s="45"/>
      <c r="H47" s="45"/>
      <c r="I47" s="206"/>
      <c r="J47" s="206"/>
    </row>
    <row r="48" spans="1:10" ht="12.5">
      <c r="A48" s="45"/>
      <c r="B48" s="45"/>
      <c r="C48" s="45"/>
      <c r="D48" s="45"/>
      <c r="E48" s="45"/>
      <c r="F48" s="45"/>
      <c r="G48" s="45"/>
      <c r="H48" s="45"/>
      <c r="I48" s="206"/>
      <c r="J48" s="206"/>
    </row>
    <row r="49" spans="1:10" ht="12.5">
      <c r="A49" s="45"/>
      <c r="B49" s="45"/>
      <c r="C49" s="45"/>
      <c r="D49" s="45"/>
      <c r="E49" s="45"/>
      <c r="F49" s="45"/>
      <c r="G49" s="45"/>
      <c r="H49" s="45"/>
      <c r="I49" s="206"/>
      <c r="J49" s="206"/>
    </row>
    <row r="50" spans="1:10" ht="12.5">
      <c r="A50" s="45"/>
      <c r="B50" s="45"/>
      <c r="C50" s="45"/>
      <c r="D50" s="45"/>
      <c r="E50" s="45"/>
      <c r="F50" s="45"/>
      <c r="G50" s="45"/>
      <c r="H50" s="45"/>
      <c r="I50" s="206"/>
      <c r="J50" s="206"/>
    </row>
    <row r="51" spans="1:10" ht="12.5">
      <c r="A51" s="45"/>
      <c r="B51" s="45"/>
      <c r="C51" s="45"/>
      <c r="D51" s="45"/>
      <c r="E51" s="45"/>
      <c r="F51" s="45"/>
      <c r="G51" s="45"/>
      <c r="H51" s="45"/>
      <c r="I51" s="206"/>
      <c r="J51" s="206"/>
    </row>
    <row r="52" spans="1:10" ht="12.5">
      <c r="A52" s="45"/>
      <c r="B52" s="45"/>
      <c r="C52" s="45"/>
      <c r="D52" s="45"/>
      <c r="E52" s="45"/>
      <c r="F52" s="45"/>
      <c r="G52" s="45"/>
      <c r="H52" s="45"/>
      <c r="I52" s="206"/>
      <c r="J52" s="206"/>
    </row>
    <row r="53" spans="1:10" ht="12.5">
      <c r="A53" s="45"/>
      <c r="B53" s="45"/>
      <c r="C53" s="45"/>
      <c r="D53" s="45"/>
      <c r="E53" s="45"/>
      <c r="F53" s="45"/>
      <c r="G53" s="45"/>
      <c r="H53" s="45"/>
      <c r="I53" s="206"/>
      <c r="J53" s="206"/>
    </row>
    <row r="54" spans="1:10" ht="12.5">
      <c r="A54" s="45"/>
      <c r="B54" s="45"/>
      <c r="C54" s="45"/>
      <c r="D54" s="45"/>
      <c r="E54" s="45"/>
      <c r="F54" s="45"/>
      <c r="G54" s="45"/>
      <c r="H54" s="45"/>
      <c r="I54" s="206"/>
      <c r="J54" s="206"/>
    </row>
    <row r="55" spans="1:10" ht="12.5">
      <c r="A55" s="45"/>
      <c r="B55" s="45"/>
      <c r="C55" s="45"/>
      <c r="D55" s="45"/>
      <c r="E55" s="45"/>
      <c r="F55" s="45"/>
      <c r="G55" s="45"/>
      <c r="H55" s="45"/>
      <c r="I55" s="206"/>
      <c r="J55" s="206"/>
    </row>
    <row r="56" spans="1:10" ht="12.5">
      <c r="A56" s="45"/>
      <c r="B56" s="45"/>
      <c r="C56" s="45"/>
      <c r="D56" s="45"/>
      <c r="E56" s="45"/>
      <c r="F56" s="45"/>
      <c r="G56" s="45"/>
      <c r="H56" s="45"/>
      <c r="I56" s="206"/>
      <c r="J56" s="206"/>
    </row>
    <row r="57" spans="1:10" ht="12.5">
      <c r="A57" s="45"/>
      <c r="B57" s="45"/>
      <c r="C57" s="45"/>
      <c r="D57" s="45"/>
      <c r="E57" s="45"/>
      <c r="F57" s="45"/>
      <c r="G57" s="45"/>
      <c r="H57" s="45"/>
      <c r="I57" s="206"/>
      <c r="J57" s="206"/>
    </row>
    <row r="58" spans="1:10" ht="12.5">
      <c r="A58" s="45"/>
      <c r="B58" s="45"/>
      <c r="C58" s="45"/>
      <c r="D58" s="45"/>
      <c r="E58" s="45"/>
      <c r="F58" s="45"/>
      <c r="G58" s="45"/>
      <c r="H58" s="45"/>
      <c r="I58" s="206"/>
      <c r="J58" s="206"/>
    </row>
    <row r="59" spans="1:10" ht="12.5">
      <c r="A59" s="45"/>
      <c r="B59" s="45"/>
      <c r="C59" s="45"/>
      <c r="D59" s="45"/>
      <c r="E59" s="45"/>
      <c r="F59" s="45"/>
      <c r="G59" s="45"/>
      <c r="H59" s="45"/>
      <c r="I59" s="206"/>
      <c r="J59" s="206"/>
    </row>
    <row r="60" spans="1:10" ht="12.5">
      <c r="A60" s="45"/>
      <c r="B60" s="45"/>
      <c r="C60" s="45"/>
      <c r="D60" s="45"/>
      <c r="E60" s="45"/>
      <c r="F60" s="45"/>
      <c r="G60" s="45"/>
      <c r="H60" s="45"/>
      <c r="I60" s="206"/>
      <c r="J60" s="206"/>
    </row>
    <row r="61" spans="1:10" ht="12.5">
      <c r="A61" s="45"/>
      <c r="B61" s="45"/>
      <c r="C61" s="45"/>
      <c r="D61" s="45"/>
      <c r="E61" s="45"/>
      <c r="F61" s="45"/>
      <c r="G61" s="45"/>
      <c r="H61" s="45"/>
      <c r="I61" s="206"/>
      <c r="J61" s="206"/>
    </row>
    <row r="62" spans="1:10" ht="12.5">
      <c r="A62" s="45"/>
      <c r="B62" s="45"/>
      <c r="C62" s="45"/>
      <c r="D62" s="45"/>
      <c r="E62" s="45"/>
      <c r="F62" s="45"/>
      <c r="G62" s="45"/>
      <c r="H62" s="45"/>
      <c r="I62" s="206"/>
      <c r="J62" s="206"/>
    </row>
    <row r="63" spans="1:10" ht="12.5">
      <c r="A63" s="45"/>
      <c r="B63" s="45"/>
      <c r="C63" s="45"/>
      <c r="D63" s="45"/>
      <c r="E63" s="45"/>
      <c r="F63" s="45"/>
      <c r="G63" s="45"/>
      <c r="H63" s="45"/>
      <c r="I63" s="206"/>
      <c r="J63" s="206"/>
    </row>
    <row r="64" spans="1:10" ht="12.5">
      <c r="A64" s="45"/>
      <c r="B64" s="45"/>
      <c r="C64" s="45"/>
      <c r="D64" s="45"/>
      <c r="E64" s="45"/>
      <c r="F64" s="45"/>
      <c r="G64" s="45"/>
      <c r="H64" s="45"/>
      <c r="I64" s="206"/>
      <c r="J64" s="206"/>
    </row>
    <row r="65" spans="1:10" ht="12.5">
      <c r="A65" s="45"/>
      <c r="B65" s="45"/>
      <c r="C65" s="45"/>
      <c r="D65" s="45"/>
      <c r="E65" s="45"/>
      <c r="F65" s="45"/>
      <c r="G65" s="45"/>
      <c r="H65" s="45"/>
      <c r="I65" s="206"/>
      <c r="J65" s="206"/>
    </row>
    <row r="66" spans="1:10" ht="12.5">
      <c r="A66" s="45"/>
      <c r="B66" s="45"/>
      <c r="C66" s="45"/>
      <c r="D66" s="45"/>
      <c r="E66" s="45"/>
      <c r="F66" s="45"/>
      <c r="G66" s="45"/>
      <c r="H66" s="45"/>
      <c r="I66" s="206"/>
      <c r="J66" s="206"/>
    </row>
    <row r="67" spans="1:10" ht="12.5">
      <c r="A67" s="45"/>
      <c r="B67" s="45"/>
      <c r="C67" s="45"/>
      <c r="D67" s="45"/>
      <c r="E67" s="45"/>
      <c r="F67" s="45"/>
      <c r="G67" s="45"/>
      <c r="H67" s="45"/>
      <c r="I67" s="206"/>
      <c r="J67" s="206"/>
    </row>
    <row r="68" spans="1:10" ht="12.5">
      <c r="A68" s="45"/>
      <c r="B68" s="45"/>
      <c r="C68" s="45"/>
      <c r="D68" s="45"/>
      <c r="E68" s="45"/>
      <c r="F68" s="45"/>
      <c r="G68" s="45"/>
      <c r="H68" s="45"/>
      <c r="I68" s="206"/>
      <c r="J68" s="206"/>
    </row>
    <row r="69" spans="1:10" ht="12.5">
      <c r="A69" s="45"/>
      <c r="B69" s="45"/>
      <c r="C69" s="45"/>
      <c r="D69" s="45"/>
      <c r="E69" s="45"/>
      <c r="F69" s="45"/>
      <c r="G69" s="45"/>
      <c r="H69" s="45"/>
      <c r="I69" s="206"/>
      <c r="J69" s="206"/>
    </row>
    <row r="70" spans="1:10" ht="12.5">
      <c r="A70" s="45"/>
      <c r="B70" s="45"/>
      <c r="C70" s="45"/>
      <c r="D70" s="45"/>
      <c r="E70" s="45"/>
      <c r="F70" s="45"/>
      <c r="G70" s="45"/>
      <c r="H70" s="45"/>
      <c r="I70" s="206"/>
      <c r="J70" s="206"/>
    </row>
    <row r="71" spans="1:10" ht="12.5">
      <c r="A71" s="45"/>
      <c r="B71" s="45"/>
      <c r="C71" s="45"/>
      <c r="D71" s="45"/>
      <c r="E71" s="45"/>
      <c r="F71" s="45"/>
      <c r="G71" s="45"/>
      <c r="H71" s="45"/>
      <c r="I71" s="206"/>
      <c r="J71" s="206"/>
    </row>
    <row r="72" spans="1:10" ht="12.5">
      <c r="A72" s="45"/>
      <c r="B72" s="45"/>
      <c r="C72" s="45"/>
      <c r="D72" s="45"/>
      <c r="E72" s="45"/>
      <c r="F72" s="45"/>
      <c r="G72" s="45"/>
      <c r="H72" s="45"/>
      <c r="I72" s="206"/>
      <c r="J72" s="206"/>
    </row>
    <row r="73" spans="1:10" ht="12.5">
      <c r="A73" s="45"/>
      <c r="B73" s="45"/>
      <c r="C73" s="45"/>
      <c r="D73" s="45"/>
      <c r="E73" s="45"/>
      <c r="F73" s="45"/>
      <c r="G73" s="45"/>
      <c r="H73" s="45"/>
      <c r="I73" s="206"/>
      <c r="J73" s="206"/>
    </row>
    <row r="74" spans="1:10" ht="12.5">
      <c r="A74" s="114"/>
      <c r="B74" s="114"/>
      <c r="C74" s="114"/>
      <c r="D74" s="111"/>
      <c r="E74" s="111"/>
      <c r="F74" s="111"/>
      <c r="G74" s="111"/>
      <c r="H74" s="111"/>
    </row>
    <row r="75" spans="1:10" ht="12.5">
      <c r="A75" s="114"/>
      <c r="B75" s="114"/>
      <c r="C75" s="114"/>
      <c r="D75" s="111"/>
      <c r="E75" s="111"/>
      <c r="F75" s="111"/>
      <c r="G75" s="111"/>
      <c r="H75" s="111"/>
    </row>
    <row r="76" spans="1:10" ht="12.5">
      <c r="A76" s="114"/>
      <c r="B76" s="114"/>
      <c r="C76" s="114"/>
      <c r="D76" s="111"/>
      <c r="E76" s="111"/>
      <c r="F76" s="111"/>
      <c r="G76" s="111"/>
      <c r="H76" s="111"/>
    </row>
    <row r="77" spans="1:10" ht="12.5">
      <c r="A77" s="114"/>
      <c r="B77" s="114"/>
      <c r="C77" s="114"/>
      <c r="D77" s="111"/>
      <c r="E77" s="111"/>
      <c r="F77" s="111"/>
      <c r="G77" s="111"/>
      <c r="H77" s="111"/>
    </row>
    <row r="78" spans="1:10" ht="12.5">
      <c r="A78" s="114"/>
      <c r="B78" s="114"/>
      <c r="C78" s="114"/>
      <c r="D78" s="111"/>
      <c r="E78" s="111"/>
      <c r="F78" s="111"/>
      <c r="G78" s="111"/>
      <c r="H78" s="111"/>
    </row>
    <row r="79" spans="1:10" ht="12.5">
      <c r="A79" s="114"/>
      <c r="B79" s="114"/>
      <c r="C79" s="114"/>
      <c r="D79" s="111"/>
      <c r="E79" s="111"/>
      <c r="F79" s="111"/>
      <c r="G79" s="111"/>
      <c r="H79" s="111"/>
    </row>
    <row r="80" spans="1:10" ht="12.5">
      <c r="A80" s="114"/>
      <c r="B80" s="114"/>
      <c r="C80" s="114"/>
      <c r="D80" s="111"/>
      <c r="E80" s="111"/>
      <c r="F80" s="111"/>
      <c r="G80" s="111"/>
      <c r="H80" s="111"/>
    </row>
    <row r="81" spans="1:8" ht="12.5">
      <c r="A81" s="114"/>
      <c r="B81" s="114"/>
      <c r="C81" s="114"/>
      <c r="D81" s="111"/>
      <c r="E81" s="111"/>
      <c r="F81" s="111"/>
      <c r="G81" s="111"/>
      <c r="H81" s="111"/>
    </row>
    <row r="82" spans="1:8" ht="12.5">
      <c r="A82" s="114"/>
      <c r="B82" s="114"/>
      <c r="C82" s="114"/>
      <c r="D82" s="111"/>
      <c r="E82" s="111"/>
      <c r="F82" s="111"/>
      <c r="G82" s="111"/>
      <c r="H82" s="111"/>
    </row>
    <row r="83" spans="1:8" ht="12.5">
      <c r="A83" s="114"/>
      <c r="B83" s="114"/>
      <c r="C83" s="114"/>
      <c r="D83" s="111"/>
      <c r="E83" s="111"/>
      <c r="F83" s="111"/>
      <c r="G83" s="111"/>
      <c r="H83" s="111"/>
    </row>
    <row r="84" spans="1:8" ht="12.5">
      <c r="A84" s="114"/>
      <c r="B84" s="114"/>
      <c r="C84" s="114"/>
      <c r="D84" s="111"/>
      <c r="E84" s="111"/>
      <c r="F84" s="111"/>
      <c r="G84" s="111"/>
      <c r="H84" s="111"/>
    </row>
    <row r="85" spans="1:8" ht="12.5">
      <c r="A85" s="114"/>
      <c r="B85" s="114"/>
      <c r="C85" s="114"/>
      <c r="D85" s="111"/>
      <c r="E85" s="111"/>
      <c r="F85" s="111"/>
      <c r="G85" s="111"/>
      <c r="H85" s="111"/>
    </row>
    <row r="86" spans="1:8" ht="12.5">
      <c r="A86" s="114"/>
      <c r="B86" s="114"/>
      <c r="C86" s="114"/>
      <c r="D86" s="111"/>
      <c r="E86" s="111"/>
      <c r="F86" s="111"/>
      <c r="G86" s="111"/>
      <c r="H86" s="111"/>
    </row>
    <row r="87" spans="1:8" ht="12.5">
      <c r="A87" s="114"/>
      <c r="B87" s="114"/>
      <c r="C87" s="114"/>
      <c r="D87" s="111"/>
      <c r="E87" s="111"/>
      <c r="F87" s="111"/>
      <c r="G87" s="111"/>
      <c r="H87" s="111"/>
    </row>
    <row r="88" spans="1:8" ht="12.5">
      <c r="A88" s="114"/>
      <c r="B88" s="114"/>
      <c r="C88" s="114"/>
      <c r="D88" s="111"/>
      <c r="E88" s="111"/>
      <c r="F88" s="111"/>
      <c r="G88" s="111"/>
      <c r="H88" s="111"/>
    </row>
    <row r="89" spans="1:8" ht="12.5">
      <c r="A89" s="114"/>
      <c r="B89" s="114"/>
      <c r="C89" s="114"/>
      <c r="D89" s="111"/>
      <c r="E89" s="111"/>
      <c r="F89" s="111"/>
      <c r="G89" s="111"/>
      <c r="H89" s="111"/>
    </row>
    <row r="90" spans="1:8" ht="12.5">
      <c r="A90" s="114"/>
      <c r="B90" s="114"/>
      <c r="C90" s="114"/>
      <c r="D90" s="111"/>
      <c r="E90" s="111"/>
      <c r="F90" s="111"/>
      <c r="G90" s="111"/>
      <c r="H90" s="111"/>
    </row>
    <row r="91" spans="1:8" ht="12.5">
      <c r="A91" s="114"/>
      <c r="B91" s="114"/>
      <c r="C91" s="114"/>
      <c r="D91" s="111"/>
      <c r="E91" s="111"/>
      <c r="F91" s="111"/>
      <c r="G91" s="111"/>
      <c r="H91" s="111"/>
    </row>
    <row r="92" spans="1:8" ht="12.5">
      <c r="A92" s="114"/>
      <c r="B92" s="114"/>
      <c r="C92" s="114"/>
      <c r="D92" s="111"/>
      <c r="E92" s="111"/>
      <c r="F92" s="111"/>
      <c r="G92" s="111"/>
      <c r="H92" s="111"/>
    </row>
    <row r="93" spans="1:8" ht="12.5">
      <c r="A93" s="114"/>
      <c r="B93" s="114"/>
      <c r="C93" s="114"/>
      <c r="D93" s="111"/>
      <c r="E93" s="111"/>
      <c r="F93" s="111"/>
      <c r="G93" s="111"/>
      <c r="H93" s="111"/>
    </row>
    <row r="94" spans="1:8" ht="12.5">
      <c r="A94" s="114"/>
      <c r="B94" s="114"/>
      <c r="C94" s="114"/>
      <c r="D94" s="111"/>
      <c r="E94" s="111"/>
      <c r="F94" s="111"/>
      <c r="G94" s="111"/>
      <c r="H94" s="111"/>
    </row>
    <row r="95" spans="1:8" ht="12.5">
      <c r="A95" s="114"/>
      <c r="B95" s="114"/>
      <c r="C95" s="114"/>
      <c r="D95" s="111"/>
      <c r="E95" s="111"/>
      <c r="F95" s="111"/>
      <c r="G95" s="111"/>
      <c r="H95" s="111"/>
    </row>
    <row r="96" spans="1:8" ht="12.5">
      <c r="A96" s="114"/>
      <c r="B96" s="114"/>
      <c r="C96" s="114"/>
      <c r="D96" s="111"/>
      <c r="E96" s="111"/>
      <c r="F96" s="111"/>
      <c r="G96" s="111"/>
      <c r="H96" s="111"/>
    </row>
    <row r="97" spans="1:8" ht="12.5">
      <c r="A97" s="114"/>
      <c r="B97" s="114"/>
      <c r="C97" s="114"/>
      <c r="D97" s="111"/>
      <c r="E97" s="111"/>
      <c r="F97" s="111"/>
      <c r="G97" s="111"/>
      <c r="H97" s="111"/>
    </row>
    <row r="98" spans="1:8" ht="12.5">
      <c r="A98" s="114"/>
      <c r="B98" s="114"/>
      <c r="C98" s="114"/>
      <c r="D98" s="111"/>
      <c r="E98" s="111"/>
      <c r="F98" s="111"/>
      <c r="G98" s="111"/>
      <c r="H98" s="111"/>
    </row>
    <row r="99" spans="1:8" ht="12.5">
      <c r="A99" s="114"/>
      <c r="B99" s="114"/>
      <c r="C99" s="114"/>
      <c r="D99" s="111"/>
      <c r="E99" s="111"/>
      <c r="F99" s="111"/>
      <c r="G99" s="111"/>
      <c r="H99" s="111"/>
    </row>
    <row r="100" spans="1:8" ht="12.5">
      <c r="A100" s="114"/>
      <c r="B100" s="114"/>
      <c r="C100" s="114"/>
      <c r="D100" s="111"/>
      <c r="E100" s="111"/>
      <c r="F100" s="111"/>
      <c r="G100" s="111"/>
      <c r="H100" s="111"/>
    </row>
    <row r="101" spans="1:8" ht="12.5">
      <c r="A101" s="114"/>
      <c r="B101" s="114"/>
      <c r="C101" s="114"/>
      <c r="D101" s="111"/>
      <c r="E101" s="111"/>
      <c r="F101" s="111"/>
      <c r="G101" s="111"/>
      <c r="H101" s="111"/>
    </row>
    <row r="102" spans="1:8" ht="12.5">
      <c r="A102" s="114"/>
      <c r="B102" s="114"/>
      <c r="C102" s="114"/>
      <c r="D102" s="111"/>
      <c r="E102" s="111"/>
      <c r="F102" s="111"/>
      <c r="G102" s="111"/>
      <c r="H102" s="111"/>
    </row>
    <row r="103" spans="1:8" ht="12.5">
      <c r="A103" s="114"/>
      <c r="B103" s="114"/>
      <c r="C103" s="114"/>
      <c r="D103" s="111"/>
      <c r="E103" s="111"/>
      <c r="F103" s="111"/>
      <c r="G103" s="111"/>
      <c r="H103" s="111"/>
    </row>
    <row r="104" spans="1:8" ht="12.5">
      <c r="A104" s="114"/>
      <c r="B104" s="114"/>
      <c r="C104" s="114"/>
      <c r="D104" s="111"/>
      <c r="E104" s="111"/>
      <c r="F104" s="111"/>
      <c r="G104" s="111"/>
      <c r="H104" s="111"/>
    </row>
    <row r="105" spans="1:8" ht="12.5">
      <c r="A105" s="114"/>
      <c r="B105" s="114"/>
      <c r="C105" s="114"/>
      <c r="D105" s="111"/>
      <c r="E105" s="111"/>
      <c r="F105" s="111"/>
      <c r="G105" s="111"/>
      <c r="H105" s="111"/>
    </row>
    <row r="106" spans="1:8" ht="12.5">
      <c r="A106" s="114"/>
      <c r="B106" s="114"/>
      <c r="C106" s="114"/>
      <c r="D106" s="111"/>
      <c r="E106" s="111"/>
      <c r="F106" s="111"/>
      <c r="G106" s="111"/>
      <c r="H106" s="111"/>
    </row>
    <row r="107" spans="1:8" ht="12.5">
      <c r="A107" s="114"/>
      <c r="B107" s="114"/>
      <c r="C107" s="114"/>
      <c r="D107" s="111"/>
      <c r="E107" s="111"/>
      <c r="F107" s="111"/>
      <c r="G107" s="111"/>
      <c r="H107" s="111"/>
    </row>
    <row r="108" spans="1:8" ht="12.5">
      <c r="A108" s="114"/>
      <c r="B108" s="114"/>
      <c r="C108" s="114"/>
      <c r="D108" s="111"/>
      <c r="E108" s="111"/>
      <c r="F108" s="111"/>
      <c r="G108" s="111"/>
      <c r="H108" s="111"/>
    </row>
    <row r="109" spans="1:8" ht="12.5">
      <c r="A109" s="114"/>
      <c r="B109" s="114"/>
      <c r="C109" s="114"/>
      <c r="D109" s="111"/>
      <c r="E109" s="111"/>
      <c r="F109" s="111"/>
      <c r="G109" s="111"/>
      <c r="H109" s="111"/>
    </row>
    <row r="110" spans="1:8" ht="12.5">
      <c r="A110" s="114"/>
      <c r="B110" s="114"/>
      <c r="C110" s="114"/>
      <c r="D110" s="111"/>
      <c r="E110" s="111"/>
      <c r="F110" s="111"/>
      <c r="G110" s="111"/>
      <c r="H110" s="111"/>
    </row>
    <row r="111" spans="1:8" ht="12.5">
      <c r="A111" s="114"/>
      <c r="B111" s="114"/>
      <c r="C111" s="114"/>
      <c r="D111" s="111"/>
      <c r="E111" s="111"/>
      <c r="F111" s="111"/>
      <c r="G111" s="111"/>
      <c r="H111" s="111"/>
    </row>
    <row r="112" spans="1:8" ht="12.5">
      <c r="A112" s="114"/>
      <c r="B112" s="114"/>
      <c r="C112" s="114"/>
      <c r="D112" s="111"/>
      <c r="E112" s="111"/>
      <c r="F112" s="111"/>
      <c r="G112" s="111"/>
      <c r="H112" s="111"/>
    </row>
    <row r="113" spans="1:8" ht="12.5">
      <c r="A113" s="114"/>
      <c r="B113" s="114"/>
      <c r="C113" s="114"/>
      <c r="D113" s="111"/>
      <c r="E113" s="111"/>
      <c r="F113" s="111"/>
      <c r="G113" s="111"/>
      <c r="H113" s="111"/>
    </row>
    <row r="114" spans="1:8" ht="12.5">
      <c r="A114" s="114"/>
      <c r="B114" s="114"/>
      <c r="C114" s="114"/>
      <c r="D114" s="111"/>
      <c r="E114" s="111"/>
      <c r="F114" s="111"/>
      <c r="G114" s="111"/>
      <c r="H114" s="111"/>
    </row>
    <row r="115" spans="1:8" ht="12.5">
      <c r="A115" s="114"/>
      <c r="B115" s="114"/>
      <c r="C115" s="114"/>
      <c r="D115" s="111"/>
      <c r="E115" s="111"/>
      <c r="F115" s="111"/>
      <c r="G115" s="111"/>
      <c r="H115" s="111"/>
    </row>
    <row r="116" spans="1:8" ht="12.5">
      <c r="A116" s="114"/>
      <c r="B116" s="114"/>
      <c r="C116" s="114"/>
      <c r="D116" s="111"/>
      <c r="E116" s="111"/>
      <c r="F116" s="111"/>
      <c r="G116" s="111"/>
      <c r="H116" s="111"/>
    </row>
    <row r="117" spans="1:8" ht="12.5">
      <c r="A117" s="114"/>
      <c r="B117" s="114"/>
      <c r="C117" s="114"/>
      <c r="D117" s="111"/>
      <c r="E117" s="111"/>
      <c r="F117" s="111"/>
      <c r="G117" s="111"/>
      <c r="H117" s="111"/>
    </row>
    <row r="118" spans="1:8" ht="12.5">
      <c r="A118" s="114"/>
      <c r="B118" s="114"/>
      <c r="C118" s="114"/>
      <c r="D118" s="111"/>
      <c r="E118" s="111"/>
      <c r="F118" s="111"/>
      <c r="G118" s="111"/>
      <c r="H118" s="111"/>
    </row>
    <row r="119" spans="1:8" ht="12.5">
      <c r="A119" s="114"/>
      <c r="B119" s="114"/>
      <c r="C119" s="114"/>
      <c r="D119" s="111"/>
      <c r="E119" s="111"/>
      <c r="F119" s="111"/>
      <c r="G119" s="111"/>
      <c r="H119" s="111"/>
    </row>
    <row r="120" spans="1:8" ht="12.5">
      <c r="A120" s="114"/>
      <c r="B120" s="114"/>
      <c r="C120" s="114"/>
      <c r="D120" s="111"/>
      <c r="E120" s="111"/>
      <c r="F120" s="111"/>
      <c r="G120" s="111"/>
      <c r="H120" s="111"/>
    </row>
    <row r="121" spans="1:8" ht="12.5">
      <c r="A121" s="114"/>
      <c r="B121" s="114"/>
      <c r="C121" s="114"/>
      <c r="D121" s="111"/>
      <c r="E121" s="111"/>
      <c r="F121" s="111"/>
      <c r="G121" s="111"/>
      <c r="H121" s="111"/>
    </row>
    <row r="122" spans="1:8" ht="12.5">
      <c r="A122" s="114"/>
      <c r="B122" s="114"/>
      <c r="C122" s="114"/>
      <c r="D122" s="111"/>
      <c r="E122" s="111"/>
      <c r="F122" s="111"/>
      <c r="G122" s="111"/>
      <c r="H122" s="111"/>
    </row>
    <row r="123" spans="1:8" ht="12.5">
      <c r="A123" s="114"/>
      <c r="B123" s="114"/>
      <c r="C123" s="114"/>
      <c r="D123" s="111"/>
      <c r="E123" s="111"/>
      <c r="F123" s="111"/>
      <c r="G123" s="111"/>
      <c r="H123" s="111"/>
    </row>
    <row r="124" spans="1:8" ht="12.5">
      <c r="A124" s="114"/>
      <c r="B124" s="114"/>
      <c r="C124" s="114"/>
      <c r="D124" s="111"/>
      <c r="E124" s="111"/>
      <c r="F124" s="111"/>
      <c r="G124" s="111"/>
      <c r="H124" s="111"/>
    </row>
    <row r="125" spans="1:8" ht="12.5">
      <c r="A125" s="114"/>
      <c r="B125" s="114"/>
      <c r="C125" s="114"/>
      <c r="D125" s="111"/>
      <c r="E125" s="111"/>
      <c r="F125" s="111"/>
      <c r="G125" s="111"/>
      <c r="H125" s="111"/>
    </row>
    <row r="126" spans="1:8" ht="12.5">
      <c r="A126" s="114"/>
      <c r="B126" s="114"/>
      <c r="C126" s="114"/>
      <c r="D126" s="111"/>
      <c r="E126" s="111"/>
      <c r="F126" s="111"/>
      <c r="G126" s="111"/>
      <c r="H126" s="111"/>
    </row>
    <row r="127" spans="1:8" ht="12.5">
      <c r="A127" s="114"/>
      <c r="B127" s="114"/>
      <c r="C127" s="114"/>
      <c r="D127" s="111"/>
      <c r="E127" s="111"/>
      <c r="F127" s="111"/>
      <c r="G127" s="111"/>
      <c r="H127" s="111"/>
    </row>
    <row r="128" spans="1:8" ht="12.5">
      <c r="A128" s="114"/>
      <c r="B128" s="114"/>
      <c r="C128" s="114"/>
      <c r="D128" s="111"/>
      <c r="E128" s="111"/>
      <c r="F128" s="111"/>
      <c r="G128" s="111"/>
      <c r="H128" s="111"/>
    </row>
    <row r="129" spans="1:8" ht="12.5">
      <c r="A129" s="114"/>
      <c r="B129" s="114"/>
      <c r="C129" s="114"/>
      <c r="D129" s="111"/>
      <c r="E129" s="111"/>
      <c r="F129" s="111"/>
      <c r="G129" s="111"/>
      <c r="H129" s="111"/>
    </row>
    <row r="130" spans="1:8" ht="12.5">
      <c r="A130" s="114"/>
      <c r="B130" s="114"/>
      <c r="C130" s="114"/>
      <c r="D130" s="111"/>
      <c r="E130" s="111"/>
      <c r="F130" s="111"/>
      <c r="G130" s="111"/>
      <c r="H130" s="111"/>
    </row>
    <row r="131" spans="1:8" ht="12.5">
      <c r="A131" s="114"/>
      <c r="B131" s="114"/>
      <c r="C131" s="114"/>
      <c r="D131" s="111"/>
      <c r="E131" s="111"/>
      <c r="F131" s="111"/>
      <c r="G131" s="111"/>
      <c r="H131" s="111"/>
    </row>
    <row r="132" spans="1:8" ht="12.5">
      <c r="A132" s="114"/>
      <c r="B132" s="114"/>
      <c r="C132" s="114"/>
      <c r="D132" s="111"/>
      <c r="E132" s="111"/>
      <c r="F132" s="111"/>
      <c r="G132" s="111"/>
      <c r="H132" s="111"/>
    </row>
    <row r="133" spans="1:8" ht="12.5">
      <c r="A133" s="114"/>
      <c r="B133" s="114"/>
      <c r="C133" s="114"/>
      <c r="D133" s="111"/>
      <c r="E133" s="111"/>
      <c r="F133" s="111"/>
      <c r="G133" s="111"/>
      <c r="H133" s="111"/>
    </row>
    <row r="134" spans="1:8" ht="12.5">
      <c r="A134" s="114"/>
      <c r="B134" s="114"/>
      <c r="C134" s="114"/>
      <c r="D134" s="111"/>
      <c r="E134" s="111"/>
      <c r="F134" s="111"/>
      <c r="G134" s="111"/>
      <c r="H134" s="111"/>
    </row>
    <row r="135" spans="1:8" ht="12.5">
      <c r="A135" s="114"/>
      <c r="B135" s="114"/>
      <c r="C135" s="114"/>
      <c r="D135" s="111"/>
      <c r="E135" s="111"/>
      <c r="F135" s="111"/>
      <c r="G135" s="111"/>
      <c r="H135" s="111"/>
    </row>
    <row r="136" spans="1:8" ht="12.5">
      <c r="A136" s="114"/>
      <c r="B136" s="114"/>
      <c r="C136" s="114"/>
      <c r="D136" s="111"/>
      <c r="E136" s="111"/>
      <c r="F136" s="111"/>
      <c r="G136" s="111"/>
      <c r="H136" s="111"/>
    </row>
    <row r="137" spans="1:8" ht="12.5">
      <c r="A137" s="114"/>
      <c r="B137" s="114"/>
      <c r="C137" s="114"/>
      <c r="D137" s="111"/>
      <c r="E137" s="111"/>
      <c r="F137" s="111"/>
      <c r="G137" s="111"/>
      <c r="H137" s="111"/>
    </row>
    <row r="138" spans="1:8" ht="12.5">
      <c r="A138" s="114"/>
      <c r="B138" s="114"/>
      <c r="C138" s="114"/>
      <c r="D138" s="111"/>
      <c r="E138" s="111"/>
      <c r="F138" s="111"/>
      <c r="G138" s="111"/>
      <c r="H138" s="111"/>
    </row>
    <row r="139" spans="1:8" ht="12.5">
      <c r="A139" s="111"/>
      <c r="B139" s="111"/>
      <c r="C139" s="111"/>
      <c r="D139" s="111"/>
      <c r="E139" s="111"/>
      <c r="F139" s="111"/>
      <c r="G139" s="111"/>
      <c r="H139" s="111"/>
    </row>
    <row r="140" spans="1:8" ht="12.5">
      <c r="A140" s="111"/>
      <c r="B140" s="111"/>
      <c r="C140" s="111"/>
      <c r="D140" s="111"/>
      <c r="E140" s="111"/>
      <c r="F140" s="111"/>
      <c r="G140" s="111"/>
      <c r="H140" s="111"/>
    </row>
    <row r="141" spans="1:8" ht="12.5">
      <c r="A141" s="111"/>
      <c r="B141" s="111"/>
      <c r="C141" s="111"/>
      <c r="D141" s="111"/>
      <c r="E141" s="111"/>
      <c r="F141" s="111"/>
      <c r="G141" s="111"/>
      <c r="H141" s="111"/>
    </row>
    <row r="142" spans="1:8" ht="12.5">
      <c r="A142" s="111"/>
      <c r="B142" s="111"/>
      <c r="C142" s="111"/>
      <c r="D142" s="111"/>
      <c r="E142" s="111"/>
      <c r="F142" s="111"/>
      <c r="G142" s="111"/>
      <c r="H142" s="111"/>
    </row>
    <row r="143" spans="1:8" ht="12.5">
      <c r="A143" s="111"/>
      <c r="B143" s="111"/>
      <c r="C143" s="111"/>
      <c r="D143" s="111"/>
      <c r="E143" s="111"/>
      <c r="F143" s="111"/>
      <c r="G143" s="111"/>
      <c r="H143" s="111"/>
    </row>
    <row r="144" spans="1:8" ht="12.5">
      <c r="A144" s="111"/>
      <c r="B144" s="111"/>
      <c r="C144" s="111"/>
      <c r="D144" s="111"/>
      <c r="E144" s="111"/>
      <c r="F144" s="111"/>
      <c r="G144" s="111"/>
      <c r="H144" s="111"/>
    </row>
    <row r="145" spans="1:8" ht="12.5">
      <c r="A145" s="111"/>
      <c r="B145" s="111"/>
      <c r="C145" s="111"/>
      <c r="D145" s="111"/>
      <c r="E145" s="111"/>
      <c r="F145" s="111"/>
      <c r="G145" s="111"/>
      <c r="H145" s="111"/>
    </row>
    <row r="146" spans="1:8" ht="12.5">
      <c r="A146" s="111"/>
      <c r="B146" s="111"/>
      <c r="C146" s="111"/>
      <c r="D146" s="111"/>
      <c r="E146" s="111"/>
      <c r="F146" s="111"/>
      <c r="G146" s="111"/>
      <c r="H146" s="111"/>
    </row>
    <row r="147" spans="1:8" ht="12.5">
      <c r="A147" s="111"/>
      <c r="B147" s="111"/>
      <c r="C147" s="111"/>
      <c r="D147" s="111"/>
      <c r="E147" s="111"/>
      <c r="F147" s="111"/>
      <c r="G147" s="111"/>
      <c r="H147" s="111"/>
    </row>
    <row r="148" spans="1:8" ht="12.5">
      <c r="A148" s="111"/>
      <c r="B148" s="111"/>
      <c r="C148" s="111"/>
      <c r="D148" s="111"/>
      <c r="E148" s="111"/>
      <c r="F148" s="111"/>
      <c r="G148" s="111"/>
      <c r="H148" s="111"/>
    </row>
    <row r="149" spans="1:8" ht="12.5">
      <c r="A149" s="111"/>
      <c r="B149" s="111"/>
      <c r="C149" s="111"/>
      <c r="D149" s="111"/>
      <c r="E149" s="111"/>
      <c r="F149" s="111"/>
      <c r="G149" s="111"/>
      <c r="H149" s="111"/>
    </row>
    <row r="150" spans="1:8" ht="12.5">
      <c r="A150" s="111"/>
      <c r="B150" s="111"/>
      <c r="C150" s="111"/>
      <c r="D150" s="111"/>
      <c r="E150" s="111"/>
      <c r="F150" s="111"/>
      <c r="G150" s="111"/>
      <c r="H150" s="111"/>
    </row>
    <row r="151" spans="1:8" ht="12.5">
      <c r="A151" s="111"/>
      <c r="B151" s="111"/>
      <c r="C151" s="111"/>
      <c r="D151" s="111"/>
      <c r="E151" s="111"/>
      <c r="F151" s="111"/>
      <c r="G151" s="111"/>
      <c r="H151" s="111"/>
    </row>
    <row r="152" spans="1:8" ht="12.5">
      <c r="A152" s="111"/>
      <c r="B152" s="111"/>
      <c r="C152" s="111"/>
      <c r="D152" s="111"/>
      <c r="E152" s="111"/>
      <c r="F152" s="111"/>
      <c r="G152" s="111"/>
      <c r="H152" s="111"/>
    </row>
    <row r="153" spans="1:8" ht="12.5">
      <c r="A153" s="111"/>
      <c r="B153" s="111"/>
      <c r="C153" s="111"/>
      <c r="D153" s="111"/>
      <c r="E153" s="111"/>
      <c r="F153" s="111"/>
      <c r="G153" s="111"/>
      <c r="H153" s="111"/>
    </row>
    <row r="154" spans="1:8" ht="12.5">
      <c r="A154" s="111"/>
      <c r="B154" s="111"/>
      <c r="C154" s="111"/>
      <c r="D154" s="111"/>
      <c r="E154" s="111"/>
      <c r="F154" s="111"/>
      <c r="G154" s="111"/>
      <c r="H154" s="111"/>
    </row>
    <row r="155" spans="1:8" ht="12.5">
      <c r="A155" s="111"/>
      <c r="B155" s="111"/>
      <c r="C155" s="111"/>
      <c r="D155" s="111"/>
      <c r="E155" s="111"/>
      <c r="F155" s="111"/>
      <c r="G155" s="111"/>
      <c r="H155" s="111"/>
    </row>
    <row r="156" spans="1:8" ht="12.5">
      <c r="A156" s="111"/>
      <c r="B156" s="111"/>
      <c r="C156" s="111"/>
      <c r="D156" s="111"/>
      <c r="E156" s="111"/>
      <c r="F156" s="111"/>
      <c r="G156" s="111"/>
      <c r="H156" s="111"/>
    </row>
    <row r="157" spans="1:8" ht="12.5">
      <c r="A157" s="111"/>
      <c r="B157" s="111"/>
      <c r="C157" s="111"/>
      <c r="D157" s="111"/>
      <c r="E157" s="111"/>
      <c r="F157" s="111"/>
      <c r="G157" s="111"/>
      <c r="H157" s="111"/>
    </row>
    <row r="158" spans="1:8" ht="12.5">
      <c r="A158" s="111"/>
      <c r="B158" s="111"/>
      <c r="C158" s="111"/>
      <c r="D158" s="111"/>
      <c r="E158" s="111"/>
      <c r="F158" s="111"/>
      <c r="G158" s="111"/>
      <c r="H158" s="111"/>
    </row>
    <row r="159" spans="1:8" ht="12.5">
      <c r="A159" s="111"/>
      <c r="B159" s="111"/>
      <c r="C159" s="111"/>
      <c r="D159" s="111"/>
      <c r="E159" s="111"/>
      <c r="F159" s="111"/>
      <c r="G159" s="111"/>
      <c r="H159" s="111"/>
    </row>
    <row r="160" spans="1:8" ht="12.5">
      <c r="A160" s="111"/>
      <c r="B160" s="111"/>
      <c r="C160" s="111"/>
      <c r="D160" s="111"/>
      <c r="E160" s="111"/>
      <c r="F160" s="111"/>
      <c r="G160" s="111"/>
      <c r="H160" s="111"/>
    </row>
    <row r="161" spans="1:8" ht="12.5">
      <c r="A161" s="111"/>
      <c r="B161" s="111"/>
      <c r="C161" s="111"/>
      <c r="D161" s="111"/>
      <c r="E161" s="111"/>
      <c r="F161" s="111"/>
      <c r="G161" s="111"/>
      <c r="H161" s="111"/>
    </row>
    <row r="162" spans="1:8" ht="12.5">
      <c r="A162" s="111"/>
      <c r="B162" s="111"/>
      <c r="C162" s="111"/>
      <c r="D162" s="111"/>
      <c r="E162" s="111"/>
      <c r="F162" s="111"/>
      <c r="G162" s="111"/>
      <c r="H162" s="111"/>
    </row>
    <row r="163" spans="1:8" ht="12.5">
      <c r="A163" s="111"/>
      <c r="B163" s="111"/>
      <c r="C163" s="111"/>
      <c r="D163" s="111"/>
      <c r="E163" s="111"/>
      <c r="F163" s="111"/>
      <c r="G163" s="111"/>
      <c r="H163" s="111"/>
    </row>
    <row r="164" spans="1:8" ht="12.5">
      <c r="A164" s="111"/>
      <c r="B164" s="111"/>
      <c r="C164" s="111"/>
      <c r="D164" s="111"/>
      <c r="E164" s="111"/>
      <c r="F164" s="111"/>
      <c r="G164" s="111"/>
      <c r="H164" s="111"/>
    </row>
    <row r="165" spans="1:8" ht="12.5">
      <c r="A165" s="111"/>
      <c r="B165" s="111"/>
      <c r="C165" s="111"/>
      <c r="D165" s="111"/>
      <c r="E165" s="111"/>
      <c r="F165" s="111"/>
      <c r="G165" s="111"/>
      <c r="H165" s="111"/>
    </row>
    <row r="166" spans="1:8" ht="12.5">
      <c r="A166" s="111"/>
      <c r="B166" s="111"/>
      <c r="C166" s="111"/>
      <c r="D166" s="111"/>
      <c r="E166" s="111"/>
      <c r="F166" s="111"/>
      <c r="G166" s="111"/>
      <c r="H166" s="111"/>
    </row>
    <row r="167" spans="1:8" ht="12.5">
      <c r="A167" s="111"/>
      <c r="B167" s="111"/>
      <c r="C167" s="111"/>
      <c r="D167" s="111"/>
      <c r="E167" s="111"/>
      <c r="F167" s="111"/>
      <c r="G167" s="111"/>
      <c r="H167" s="111"/>
    </row>
    <row r="168" spans="1:8" ht="12.5">
      <c r="A168" s="111"/>
      <c r="B168" s="111"/>
      <c r="C168" s="111"/>
      <c r="D168" s="111"/>
      <c r="E168" s="111"/>
      <c r="F168" s="111"/>
      <c r="G168" s="111"/>
      <c r="H168" s="111"/>
    </row>
    <row r="169" spans="1:8" ht="12.5">
      <c r="A169" s="111"/>
      <c r="B169" s="111"/>
      <c r="C169" s="111"/>
      <c r="D169" s="111"/>
      <c r="E169" s="111"/>
      <c r="F169" s="111"/>
      <c r="G169" s="111"/>
      <c r="H169" s="111"/>
    </row>
    <row r="170" spans="1:8" ht="12.5">
      <c r="A170" s="111"/>
      <c r="B170" s="111"/>
      <c r="C170" s="111"/>
      <c r="D170" s="111"/>
      <c r="E170" s="111"/>
      <c r="F170" s="111"/>
      <c r="G170" s="111"/>
      <c r="H170" s="111"/>
    </row>
    <row r="171" spans="1:8" ht="12.5">
      <c r="A171" s="111"/>
      <c r="B171" s="111"/>
      <c r="C171" s="111"/>
      <c r="D171" s="111"/>
      <c r="E171" s="111"/>
      <c r="F171" s="111"/>
      <c r="G171" s="111"/>
      <c r="H171" s="111"/>
    </row>
    <row r="172" spans="1:8" ht="12.5">
      <c r="A172" s="111"/>
      <c r="B172" s="111"/>
      <c r="C172" s="111"/>
      <c r="D172" s="111"/>
      <c r="E172" s="111"/>
      <c r="F172" s="111"/>
      <c r="G172" s="111"/>
      <c r="H172" s="111"/>
    </row>
    <row r="173" spans="1:8" ht="12.5">
      <c r="A173" s="111"/>
      <c r="B173" s="111"/>
      <c r="C173" s="111"/>
      <c r="D173" s="111"/>
      <c r="E173" s="111"/>
      <c r="F173" s="111"/>
      <c r="G173" s="111"/>
      <c r="H173" s="111"/>
    </row>
    <row r="174" spans="1:8" ht="12.5">
      <c r="A174" s="111"/>
      <c r="B174" s="111"/>
      <c r="C174" s="111"/>
      <c r="D174" s="111"/>
      <c r="E174" s="111"/>
      <c r="F174" s="111"/>
      <c r="G174" s="111"/>
      <c r="H174" s="111"/>
    </row>
    <row r="175" spans="1:8" ht="12.5">
      <c r="A175" s="111"/>
      <c r="B175" s="111"/>
      <c r="C175" s="111"/>
      <c r="D175" s="111"/>
      <c r="E175" s="111"/>
      <c r="F175" s="111"/>
      <c r="G175" s="111"/>
      <c r="H175" s="111"/>
    </row>
    <row r="176" spans="1:8" ht="12.5">
      <c r="A176" s="111"/>
      <c r="B176" s="111"/>
      <c r="C176" s="111"/>
      <c r="D176" s="111"/>
      <c r="E176" s="111"/>
      <c r="F176" s="111"/>
      <c r="G176" s="111"/>
      <c r="H176" s="111"/>
    </row>
    <row r="177" spans="1:8" ht="12.5">
      <c r="A177" s="111"/>
      <c r="B177" s="111"/>
      <c r="C177" s="111"/>
      <c r="D177" s="111"/>
      <c r="E177" s="111"/>
      <c r="F177" s="111"/>
      <c r="G177" s="111"/>
      <c r="H177" s="111"/>
    </row>
    <row r="178" spans="1:8" ht="12.5">
      <c r="A178" s="111"/>
      <c r="B178" s="111"/>
      <c r="C178" s="111"/>
      <c r="D178" s="111"/>
      <c r="E178" s="111"/>
      <c r="F178" s="111"/>
      <c r="G178" s="111"/>
      <c r="H178" s="111"/>
    </row>
    <row r="179" spans="1:8" ht="12.5">
      <c r="A179" s="111"/>
      <c r="B179" s="111"/>
      <c r="C179" s="111"/>
      <c r="D179" s="111"/>
      <c r="E179" s="111"/>
      <c r="F179" s="111"/>
      <c r="G179" s="111"/>
      <c r="H179" s="111"/>
    </row>
    <row r="180" spans="1:8" ht="12.5">
      <c r="A180" s="111"/>
      <c r="B180" s="111"/>
      <c r="C180" s="111"/>
      <c r="D180" s="111"/>
      <c r="E180" s="111"/>
      <c r="F180" s="111"/>
      <c r="G180" s="111"/>
      <c r="H180" s="111"/>
    </row>
    <row r="181" spans="1:8" ht="12.5">
      <c r="A181" s="111"/>
      <c r="B181" s="111"/>
      <c r="C181" s="111"/>
      <c r="D181" s="111"/>
      <c r="E181" s="111"/>
      <c r="F181" s="111"/>
      <c r="G181" s="111"/>
      <c r="H181" s="111"/>
    </row>
    <row r="182" spans="1:8" ht="12.5">
      <c r="A182" s="111"/>
      <c r="B182" s="111"/>
      <c r="C182" s="111"/>
      <c r="D182" s="111"/>
      <c r="E182" s="111"/>
      <c r="F182" s="111"/>
      <c r="G182" s="111"/>
      <c r="H182" s="111"/>
    </row>
    <row r="183" spans="1:8" ht="12.5">
      <c r="A183" s="111"/>
      <c r="B183" s="111"/>
      <c r="C183" s="111"/>
      <c r="D183" s="111"/>
      <c r="E183" s="111"/>
      <c r="F183" s="111"/>
      <c r="G183" s="111"/>
      <c r="H183" s="111"/>
    </row>
    <row r="184" spans="1:8" ht="12.5">
      <c r="A184" s="111"/>
      <c r="B184" s="111"/>
      <c r="C184" s="111"/>
      <c r="D184" s="111"/>
      <c r="E184" s="111"/>
      <c r="F184" s="111"/>
      <c r="G184" s="111"/>
      <c r="H184" s="111"/>
    </row>
    <row r="185" spans="1:8" ht="12.5">
      <c r="A185" s="111"/>
      <c r="B185" s="111"/>
      <c r="C185" s="111"/>
      <c r="D185" s="111"/>
      <c r="E185" s="111"/>
      <c r="F185" s="111"/>
      <c r="G185" s="111"/>
      <c r="H185" s="111"/>
    </row>
    <row r="186" spans="1:8" ht="12.5">
      <c r="A186" s="111"/>
      <c r="B186" s="111"/>
      <c r="C186" s="111"/>
      <c r="D186" s="111"/>
      <c r="E186" s="111"/>
      <c r="F186" s="111"/>
      <c r="G186" s="111"/>
      <c r="H186" s="111"/>
    </row>
    <row r="187" spans="1:8" ht="12.5">
      <c r="A187" s="111"/>
      <c r="B187" s="111"/>
      <c r="C187" s="111"/>
      <c r="D187" s="111"/>
      <c r="E187" s="111"/>
      <c r="F187" s="111"/>
      <c r="G187" s="111"/>
      <c r="H187" s="111"/>
    </row>
    <row r="188" spans="1:8" ht="12.5">
      <c r="A188" s="111"/>
      <c r="B188" s="111"/>
      <c r="C188" s="111"/>
      <c r="D188" s="111"/>
      <c r="E188" s="111"/>
      <c r="F188" s="111"/>
      <c r="G188" s="111"/>
      <c r="H188" s="111"/>
    </row>
    <row r="189" spans="1:8" ht="12.5">
      <c r="A189" s="111"/>
      <c r="B189" s="111"/>
      <c r="C189" s="111"/>
      <c r="D189" s="111"/>
      <c r="E189" s="111"/>
      <c r="F189" s="111"/>
      <c r="G189" s="111"/>
      <c r="H189" s="111"/>
    </row>
    <row r="190" spans="1:8" ht="12.5">
      <c r="A190" s="111"/>
      <c r="B190" s="111"/>
      <c r="C190" s="111"/>
      <c r="D190" s="111"/>
      <c r="E190" s="111"/>
      <c r="F190" s="111"/>
      <c r="G190" s="111"/>
      <c r="H190" s="111"/>
    </row>
    <row r="191" spans="1:8" ht="12.5">
      <c r="A191" s="111"/>
      <c r="B191" s="111"/>
      <c r="C191" s="111"/>
      <c r="D191" s="111"/>
      <c r="E191" s="111"/>
      <c r="F191" s="111"/>
      <c r="G191" s="111"/>
      <c r="H191" s="111"/>
    </row>
    <row r="192" spans="1:8" ht="12.5">
      <c r="A192" s="111"/>
      <c r="B192" s="111"/>
      <c r="C192" s="111"/>
      <c r="D192" s="111"/>
      <c r="E192" s="111"/>
      <c r="F192" s="111"/>
      <c r="G192" s="111"/>
      <c r="H192" s="111"/>
    </row>
    <row r="193" spans="1:8" ht="12.5">
      <c r="A193" s="111"/>
      <c r="B193" s="111"/>
      <c r="C193" s="111"/>
      <c r="D193" s="111"/>
      <c r="E193" s="111"/>
      <c r="F193" s="111"/>
      <c r="G193" s="111"/>
      <c r="H193" s="111"/>
    </row>
    <row r="194" spans="1:8" ht="12.5">
      <c r="A194" s="111"/>
      <c r="B194" s="111"/>
      <c r="C194" s="111"/>
      <c r="D194" s="111"/>
      <c r="E194" s="111"/>
      <c r="F194" s="111"/>
      <c r="G194" s="111"/>
      <c r="H194" s="111"/>
    </row>
    <row r="195" spans="1:8" ht="12.5">
      <c r="A195" s="111"/>
      <c r="B195" s="111"/>
      <c r="C195" s="111"/>
      <c r="D195" s="111"/>
      <c r="E195" s="111"/>
      <c r="F195" s="111"/>
      <c r="G195" s="111"/>
      <c r="H195" s="111"/>
    </row>
    <row r="196" spans="1:8" ht="12.5">
      <c r="A196" s="111"/>
      <c r="B196" s="111"/>
      <c r="C196" s="111"/>
      <c r="D196" s="111"/>
      <c r="E196" s="111"/>
      <c r="F196" s="111"/>
      <c r="G196" s="111"/>
      <c r="H196" s="111"/>
    </row>
    <row r="197" spans="1:8" ht="12.5">
      <c r="A197" s="111"/>
      <c r="B197" s="111"/>
      <c r="C197" s="111"/>
      <c r="D197" s="111"/>
      <c r="E197" s="111"/>
      <c r="F197" s="111"/>
      <c r="G197" s="111"/>
      <c r="H197" s="111"/>
    </row>
    <row r="198" spans="1:8" ht="12.5">
      <c r="A198" s="111"/>
      <c r="B198" s="111"/>
      <c r="C198" s="111"/>
      <c r="D198" s="111"/>
      <c r="E198" s="111"/>
      <c r="F198" s="111"/>
      <c r="G198" s="111"/>
      <c r="H198" s="111"/>
    </row>
    <row r="199" spans="1:8" ht="12.5">
      <c r="A199" s="111"/>
      <c r="B199" s="111"/>
      <c r="C199" s="111"/>
      <c r="D199" s="111"/>
      <c r="E199" s="111"/>
      <c r="F199" s="111"/>
      <c r="G199" s="111"/>
      <c r="H199" s="111"/>
    </row>
    <row r="200" spans="1:8" ht="12.5">
      <c r="A200" s="111"/>
      <c r="B200" s="111"/>
      <c r="C200" s="111"/>
      <c r="D200" s="111"/>
      <c r="E200" s="111"/>
      <c r="F200" s="111"/>
      <c r="G200" s="111"/>
      <c r="H200" s="111"/>
    </row>
    <row r="201" spans="1:8" ht="12.5">
      <c r="A201" s="111"/>
      <c r="B201" s="111"/>
      <c r="C201" s="111"/>
      <c r="D201" s="111"/>
      <c r="E201" s="111"/>
      <c r="F201" s="111"/>
      <c r="G201" s="111"/>
      <c r="H201" s="111"/>
    </row>
    <row r="202" spans="1:8" ht="12.5">
      <c r="A202" s="111"/>
      <c r="B202" s="111"/>
      <c r="C202" s="111"/>
      <c r="D202" s="111"/>
      <c r="E202" s="111"/>
      <c r="F202" s="111"/>
      <c r="G202" s="111"/>
      <c r="H202" s="111"/>
    </row>
    <row r="203" spans="1:8" ht="12.5">
      <c r="A203" s="111"/>
      <c r="B203" s="111"/>
      <c r="C203" s="111"/>
      <c r="D203" s="111"/>
      <c r="E203" s="111"/>
      <c r="F203" s="111"/>
      <c r="G203" s="111"/>
      <c r="H203" s="111"/>
    </row>
    <row r="204" spans="1:8" ht="12.5">
      <c r="A204" s="111"/>
      <c r="B204" s="111"/>
      <c r="C204" s="111"/>
      <c r="D204" s="111"/>
      <c r="E204" s="111"/>
      <c r="F204" s="111"/>
      <c r="G204" s="111"/>
      <c r="H204" s="111"/>
    </row>
    <row r="205" spans="1:8" ht="12.5">
      <c r="A205" s="111"/>
      <c r="B205" s="111"/>
      <c r="C205" s="111"/>
      <c r="D205" s="111"/>
      <c r="E205" s="111"/>
      <c r="F205" s="111"/>
      <c r="G205" s="111"/>
      <c r="H205" s="111"/>
    </row>
    <row r="206" spans="1:8" ht="12.5">
      <c r="A206" s="111"/>
      <c r="B206" s="111"/>
      <c r="C206" s="111"/>
      <c r="D206" s="111"/>
      <c r="E206" s="111"/>
      <c r="F206" s="111"/>
      <c r="G206" s="111"/>
      <c r="H206" s="111"/>
    </row>
    <row r="207" spans="1:8" ht="12.5">
      <c r="A207" s="111"/>
      <c r="B207" s="111"/>
      <c r="C207" s="111"/>
      <c r="D207" s="111"/>
      <c r="E207" s="111"/>
      <c r="F207" s="111"/>
      <c r="G207" s="111"/>
      <c r="H207" s="111"/>
    </row>
    <row r="208" spans="1:8" ht="12.5">
      <c r="A208" s="111"/>
      <c r="B208" s="111"/>
      <c r="C208" s="111"/>
      <c r="D208" s="111"/>
      <c r="E208" s="111"/>
      <c r="F208" s="111"/>
      <c r="G208" s="111"/>
      <c r="H208" s="111"/>
    </row>
    <row r="209" spans="1:8" ht="12.5">
      <c r="A209" s="111"/>
      <c r="B209" s="111"/>
      <c r="C209" s="111"/>
      <c r="D209" s="111"/>
      <c r="E209" s="111"/>
      <c r="F209" s="111"/>
      <c r="G209" s="111"/>
      <c r="H209" s="111"/>
    </row>
    <row r="210" spans="1:8" ht="12.5">
      <c r="A210" s="111"/>
      <c r="B210" s="111"/>
      <c r="C210" s="111"/>
      <c r="D210" s="111"/>
      <c r="E210" s="111"/>
      <c r="F210" s="111"/>
      <c r="G210" s="111"/>
      <c r="H210" s="111"/>
    </row>
    <row r="211" spans="1:8" ht="12.5">
      <c r="A211" s="111"/>
      <c r="B211" s="111"/>
      <c r="C211" s="111"/>
      <c r="D211" s="111"/>
      <c r="E211" s="111"/>
      <c r="F211" s="111"/>
      <c r="G211" s="111"/>
      <c r="H211" s="111"/>
    </row>
    <row r="212" spans="1:8" ht="12.5">
      <c r="A212" s="111"/>
      <c r="B212" s="111"/>
      <c r="C212" s="111"/>
      <c r="D212" s="111"/>
      <c r="E212" s="111"/>
      <c r="F212" s="111"/>
      <c r="G212" s="111"/>
      <c r="H212" s="111"/>
    </row>
    <row r="213" spans="1:8" ht="12.5">
      <c r="A213" s="111"/>
      <c r="B213" s="111"/>
      <c r="C213" s="111"/>
      <c r="D213" s="111"/>
      <c r="E213" s="111"/>
      <c r="F213" s="111"/>
      <c r="G213" s="111"/>
      <c r="H213" s="111"/>
    </row>
    <row r="214" spans="1:8" ht="12.5">
      <c r="A214" s="111"/>
      <c r="B214" s="111"/>
      <c r="C214" s="111"/>
      <c r="D214" s="111"/>
      <c r="E214" s="111"/>
      <c r="F214" s="111"/>
      <c r="G214" s="111"/>
      <c r="H214" s="111"/>
    </row>
    <row r="215" spans="1:8" ht="12.5">
      <c r="A215" s="111"/>
      <c r="B215" s="111"/>
      <c r="C215" s="111"/>
      <c r="D215" s="111"/>
      <c r="E215" s="111"/>
      <c r="F215" s="111"/>
      <c r="G215" s="111"/>
      <c r="H215" s="111"/>
    </row>
    <row r="216" spans="1:8" ht="12.5">
      <c r="A216" s="111"/>
      <c r="B216" s="111"/>
      <c r="C216" s="111"/>
      <c r="D216" s="111"/>
      <c r="E216" s="111"/>
      <c r="F216" s="111"/>
      <c r="G216" s="111"/>
      <c r="H216" s="111"/>
    </row>
    <row r="217" spans="1:8" ht="12.5">
      <c r="A217" s="111"/>
      <c r="B217" s="111"/>
      <c r="C217" s="111"/>
      <c r="D217" s="111"/>
      <c r="E217" s="111"/>
      <c r="F217" s="111"/>
      <c r="G217" s="111"/>
      <c r="H217" s="111"/>
    </row>
    <row r="218" spans="1:8" ht="12.5">
      <c r="A218" s="111"/>
      <c r="B218" s="111"/>
      <c r="C218" s="111"/>
      <c r="D218" s="111"/>
      <c r="E218" s="111"/>
      <c r="F218" s="111"/>
      <c r="G218" s="111"/>
      <c r="H218" s="111"/>
    </row>
    <row r="219" spans="1:8" ht="12.5">
      <c r="A219" s="111"/>
      <c r="B219" s="111"/>
      <c r="C219" s="111"/>
      <c r="D219" s="111"/>
      <c r="E219" s="111"/>
      <c r="F219" s="111"/>
      <c r="G219" s="111"/>
      <c r="H219" s="111"/>
    </row>
    <row r="220" spans="1:8" ht="12.5">
      <c r="A220" s="111"/>
      <c r="B220" s="111"/>
      <c r="C220" s="111"/>
      <c r="D220" s="111"/>
      <c r="E220" s="111"/>
      <c r="F220" s="111"/>
      <c r="G220" s="111"/>
      <c r="H220" s="111"/>
    </row>
    <row r="221" spans="1:8" ht="12.5">
      <c r="A221" s="111"/>
      <c r="B221" s="111"/>
      <c r="C221" s="111"/>
      <c r="D221" s="111"/>
      <c r="E221" s="111"/>
      <c r="F221" s="111"/>
      <c r="G221" s="111"/>
      <c r="H221" s="111"/>
    </row>
    <row r="222" spans="1:8" ht="12.5">
      <c r="A222" s="111"/>
      <c r="B222" s="111"/>
      <c r="C222" s="111"/>
      <c r="D222" s="111"/>
      <c r="E222" s="111"/>
      <c r="F222" s="111"/>
      <c r="G222" s="111"/>
      <c r="H222" s="111"/>
    </row>
    <row r="223" spans="1:8" ht="12.5">
      <c r="A223" s="111"/>
      <c r="B223" s="111"/>
      <c r="C223" s="111"/>
      <c r="D223" s="111"/>
      <c r="E223" s="111"/>
      <c r="F223" s="111"/>
      <c r="G223" s="111"/>
      <c r="H223" s="111"/>
    </row>
    <row r="224" spans="1:8" ht="12.5">
      <c r="A224" s="111"/>
      <c r="B224" s="111"/>
      <c r="C224" s="111"/>
      <c r="D224" s="111"/>
      <c r="E224" s="111"/>
      <c r="F224" s="111"/>
      <c r="G224" s="111"/>
      <c r="H224" s="111"/>
    </row>
    <row r="225" spans="1:8" ht="12.5">
      <c r="A225" s="111"/>
      <c r="B225" s="111"/>
      <c r="C225" s="111"/>
      <c r="D225" s="111"/>
      <c r="E225" s="111"/>
      <c r="F225" s="111"/>
      <c r="G225" s="111"/>
      <c r="H225" s="111"/>
    </row>
    <row r="226" spans="1:8" ht="12.5">
      <c r="A226" s="111"/>
      <c r="B226" s="111"/>
      <c r="C226" s="111"/>
      <c r="D226" s="111"/>
      <c r="E226" s="111"/>
      <c r="F226" s="111"/>
      <c r="G226" s="111"/>
      <c r="H226" s="111"/>
    </row>
    <row r="227" spans="1:8" ht="12.5">
      <c r="A227" s="111"/>
      <c r="B227" s="111"/>
      <c r="C227" s="111"/>
      <c r="D227" s="111"/>
      <c r="E227" s="111"/>
      <c r="F227" s="111"/>
      <c r="G227" s="111"/>
      <c r="H227" s="111"/>
    </row>
    <row r="228" spans="1:8" ht="12.5">
      <c r="A228" s="111"/>
      <c r="B228" s="111"/>
      <c r="C228" s="111"/>
      <c r="D228" s="111"/>
      <c r="E228" s="111"/>
      <c r="F228" s="111"/>
      <c r="G228" s="111"/>
      <c r="H228" s="111"/>
    </row>
    <row r="229" spans="1:8" ht="12.5">
      <c r="A229" s="111"/>
      <c r="B229" s="111"/>
      <c r="C229" s="111"/>
      <c r="D229" s="111"/>
      <c r="E229" s="111"/>
      <c r="F229" s="111"/>
      <c r="G229" s="111"/>
      <c r="H229" s="111"/>
    </row>
    <row r="230" spans="1:8" ht="12.5">
      <c r="A230" s="111"/>
      <c r="B230" s="111"/>
      <c r="C230" s="111"/>
      <c r="D230" s="111"/>
      <c r="E230" s="111"/>
      <c r="F230" s="111"/>
      <c r="G230" s="111"/>
      <c r="H230" s="111"/>
    </row>
    <row r="231" spans="1:8" ht="12.5">
      <c r="A231" s="111"/>
      <c r="B231" s="111"/>
      <c r="C231" s="111"/>
      <c r="D231" s="111"/>
      <c r="E231" s="111"/>
      <c r="F231" s="111"/>
      <c r="G231" s="111"/>
      <c r="H231" s="111"/>
    </row>
    <row r="232" spans="1:8" ht="12.5">
      <c r="A232" s="111"/>
      <c r="B232" s="111"/>
      <c r="C232" s="111"/>
      <c r="D232" s="111"/>
      <c r="E232" s="111"/>
      <c r="F232" s="111"/>
      <c r="G232" s="111"/>
      <c r="H232" s="111"/>
    </row>
    <row r="233" spans="1:8" ht="12.5">
      <c r="A233" s="111"/>
      <c r="B233" s="111"/>
      <c r="C233" s="111"/>
      <c r="D233" s="111"/>
      <c r="E233" s="111"/>
      <c r="F233" s="111"/>
      <c r="G233" s="111"/>
      <c r="H233" s="111"/>
    </row>
    <row r="234" spans="1:8" ht="12.5">
      <c r="A234" s="111"/>
      <c r="B234" s="111"/>
      <c r="C234" s="111"/>
      <c r="D234" s="111"/>
      <c r="E234" s="111"/>
      <c r="F234" s="111"/>
      <c r="G234" s="111"/>
      <c r="H234" s="111"/>
    </row>
    <row r="235" spans="1:8" ht="12.5">
      <c r="A235" s="111"/>
      <c r="B235" s="111"/>
      <c r="C235" s="111"/>
      <c r="D235" s="111"/>
      <c r="E235" s="111"/>
      <c r="F235" s="111"/>
      <c r="G235" s="111"/>
      <c r="H235" s="111"/>
    </row>
    <row r="236" spans="1:8" ht="12.5">
      <c r="A236" s="111"/>
      <c r="B236" s="111"/>
      <c r="C236" s="111"/>
      <c r="D236" s="111"/>
      <c r="E236" s="111"/>
      <c r="F236" s="111"/>
      <c r="G236" s="111"/>
      <c r="H236" s="111"/>
    </row>
    <row r="237" spans="1:8" ht="12.5">
      <c r="A237" s="111"/>
      <c r="B237" s="111"/>
      <c r="C237" s="111"/>
      <c r="D237" s="111"/>
      <c r="E237" s="111"/>
      <c r="F237" s="111"/>
      <c r="G237" s="111"/>
      <c r="H237" s="111"/>
    </row>
    <row r="238" spans="1:8" ht="12.5">
      <c r="A238" s="111"/>
      <c r="B238" s="111"/>
      <c r="C238" s="111"/>
      <c r="D238" s="111"/>
      <c r="E238" s="111"/>
      <c r="F238" s="111"/>
      <c r="G238" s="111"/>
      <c r="H238" s="111"/>
    </row>
    <row r="239" spans="1:8" ht="12.5">
      <c r="A239" s="111"/>
      <c r="B239" s="111"/>
      <c r="C239" s="111"/>
      <c r="D239" s="111"/>
      <c r="E239" s="111"/>
      <c r="F239" s="111"/>
      <c r="G239" s="111"/>
      <c r="H239" s="111"/>
    </row>
    <row r="240" spans="1:8" ht="12.5">
      <c r="A240" s="111"/>
      <c r="B240" s="111"/>
      <c r="C240" s="111"/>
      <c r="D240" s="111"/>
      <c r="E240" s="111"/>
      <c r="F240" s="111"/>
      <c r="G240" s="111"/>
      <c r="H240" s="111"/>
    </row>
    <row r="241" spans="1:8" ht="12.5">
      <c r="A241" s="111"/>
      <c r="B241" s="111"/>
      <c r="C241" s="111"/>
      <c r="D241" s="111"/>
      <c r="E241" s="111"/>
      <c r="F241" s="111"/>
      <c r="G241" s="111"/>
      <c r="H241" s="111"/>
    </row>
    <row r="242" spans="1:8" ht="12.5">
      <c r="A242" s="111"/>
      <c r="B242" s="111"/>
      <c r="C242" s="111"/>
      <c r="D242" s="111"/>
      <c r="E242" s="111"/>
      <c r="F242" s="111"/>
      <c r="G242" s="111"/>
      <c r="H242" s="111"/>
    </row>
    <row r="243" spans="1:8" ht="12.5">
      <c r="A243" s="111"/>
      <c r="B243" s="111"/>
      <c r="C243" s="111"/>
      <c r="D243" s="111"/>
      <c r="E243" s="111"/>
      <c r="F243" s="111"/>
      <c r="G243" s="111"/>
      <c r="H243" s="111"/>
    </row>
    <row r="244" spans="1:8" ht="12.5">
      <c r="A244" s="111"/>
      <c r="B244" s="111"/>
      <c r="C244" s="111"/>
      <c r="D244" s="111"/>
      <c r="E244" s="111"/>
      <c r="F244" s="111"/>
      <c r="G244" s="111"/>
      <c r="H244" s="111"/>
    </row>
    <row r="245" spans="1:8" ht="12.5">
      <c r="A245" s="111"/>
      <c r="B245" s="111"/>
      <c r="C245" s="111"/>
      <c r="D245" s="111"/>
      <c r="E245" s="111"/>
      <c r="F245" s="111"/>
      <c r="G245" s="111"/>
      <c r="H245" s="111"/>
    </row>
    <row r="246" spans="1:8" ht="12.5">
      <c r="A246" s="111"/>
      <c r="B246" s="111"/>
      <c r="C246" s="111"/>
      <c r="D246" s="111"/>
      <c r="E246" s="111"/>
      <c r="F246" s="111"/>
      <c r="G246" s="111"/>
      <c r="H246" s="111"/>
    </row>
    <row r="247" spans="1:8" ht="12.5">
      <c r="A247" s="111"/>
      <c r="B247" s="111"/>
      <c r="C247" s="111"/>
      <c r="D247" s="111"/>
      <c r="E247" s="111"/>
      <c r="F247" s="111"/>
      <c r="G247" s="111"/>
      <c r="H247" s="111"/>
    </row>
    <row r="248" spans="1:8" ht="12.5">
      <c r="A248" s="111"/>
      <c r="B248" s="111"/>
      <c r="C248" s="111"/>
      <c r="D248" s="111"/>
      <c r="E248" s="111"/>
      <c r="F248" s="111"/>
      <c r="G248" s="111"/>
      <c r="H248" s="111"/>
    </row>
    <row r="249" spans="1:8" ht="12.5">
      <c r="A249" s="111"/>
      <c r="B249" s="111"/>
      <c r="C249" s="111"/>
      <c r="D249" s="111"/>
      <c r="E249" s="111"/>
      <c r="F249" s="111"/>
      <c r="G249" s="111"/>
      <c r="H249" s="111"/>
    </row>
    <row r="250" spans="1:8" ht="12.5">
      <c r="A250" s="111"/>
      <c r="B250" s="111"/>
      <c r="C250" s="111"/>
      <c r="D250" s="111"/>
      <c r="E250" s="111"/>
      <c r="F250" s="111"/>
      <c r="G250" s="111"/>
      <c r="H250" s="111"/>
    </row>
    <row r="251" spans="1:8" ht="12.5">
      <c r="A251" s="111"/>
      <c r="B251" s="111"/>
      <c r="C251" s="111"/>
      <c r="D251" s="111"/>
      <c r="E251" s="111"/>
      <c r="F251" s="111"/>
      <c r="G251" s="111"/>
      <c r="H251" s="111"/>
    </row>
    <row r="252" spans="1:8" ht="12.5">
      <c r="A252" s="111"/>
      <c r="B252" s="111"/>
      <c r="C252" s="111"/>
      <c r="D252" s="111"/>
      <c r="E252" s="111"/>
      <c r="F252" s="111"/>
      <c r="G252" s="111"/>
      <c r="H252" s="111"/>
    </row>
    <row r="253" spans="1:8" ht="12.5">
      <c r="A253" s="111"/>
      <c r="B253" s="111"/>
      <c r="C253" s="111"/>
      <c r="D253" s="111"/>
      <c r="E253" s="111"/>
      <c r="F253" s="111"/>
      <c r="G253" s="111"/>
      <c r="H253" s="111"/>
    </row>
    <row r="254" spans="1:8" ht="12.5">
      <c r="A254" s="111"/>
      <c r="B254" s="111"/>
      <c r="C254" s="111"/>
      <c r="D254" s="111"/>
      <c r="E254" s="111"/>
      <c r="F254" s="111"/>
      <c r="G254" s="111"/>
      <c r="H254" s="111"/>
    </row>
    <row r="255" spans="1:8" ht="12.5">
      <c r="A255" s="111"/>
      <c r="B255" s="111"/>
      <c r="C255" s="111"/>
      <c r="D255" s="111"/>
      <c r="E255" s="111"/>
      <c r="F255" s="111"/>
      <c r="G255" s="111"/>
      <c r="H255" s="111"/>
    </row>
    <row r="256" spans="1:8" ht="12.5">
      <c r="A256" s="111"/>
      <c r="B256" s="111"/>
      <c r="C256" s="111"/>
      <c r="D256" s="111"/>
      <c r="E256" s="111"/>
      <c r="F256" s="111"/>
      <c r="G256" s="111"/>
      <c r="H256" s="111"/>
    </row>
    <row r="257" spans="1:8" ht="12.5">
      <c r="A257" s="111"/>
      <c r="B257" s="111"/>
      <c r="C257" s="111"/>
      <c r="D257" s="111"/>
      <c r="E257" s="111"/>
      <c r="F257" s="111"/>
      <c r="G257" s="111"/>
      <c r="H257" s="111"/>
    </row>
    <row r="258" spans="1:8" ht="12.5">
      <c r="A258" s="111"/>
      <c r="B258" s="111"/>
      <c r="C258" s="111"/>
      <c r="D258" s="111"/>
      <c r="E258" s="111"/>
      <c r="F258" s="111"/>
      <c r="G258" s="111"/>
      <c r="H258" s="111"/>
    </row>
    <row r="259" spans="1:8" ht="12.5">
      <c r="A259" s="111"/>
      <c r="B259" s="111"/>
      <c r="C259" s="111"/>
      <c r="D259" s="111"/>
      <c r="E259" s="111"/>
      <c r="F259" s="111"/>
      <c r="G259" s="111"/>
      <c r="H259" s="111"/>
    </row>
    <row r="260" spans="1:8" ht="12.5">
      <c r="A260" s="111"/>
      <c r="B260" s="111"/>
      <c r="C260" s="111"/>
      <c r="D260" s="111"/>
      <c r="E260" s="111"/>
      <c r="F260" s="111"/>
      <c r="G260" s="111"/>
      <c r="H260" s="111"/>
    </row>
    <row r="261" spans="1:8" ht="12.5">
      <c r="A261" s="111"/>
      <c r="B261" s="111"/>
      <c r="C261" s="111"/>
      <c r="D261" s="111"/>
      <c r="E261" s="111"/>
      <c r="F261" s="111"/>
      <c r="G261" s="111"/>
      <c r="H261" s="111"/>
    </row>
    <row r="262" spans="1:8" ht="12.5">
      <c r="A262" s="111"/>
      <c r="B262" s="111"/>
      <c r="C262" s="111"/>
      <c r="D262" s="111"/>
      <c r="E262" s="111"/>
      <c r="F262" s="111"/>
      <c r="G262" s="111"/>
      <c r="H262" s="111"/>
    </row>
    <row r="263" spans="1:8" ht="12.5">
      <c r="A263" s="111"/>
      <c r="B263" s="111"/>
      <c r="C263" s="111"/>
      <c r="D263" s="111"/>
      <c r="E263" s="111"/>
      <c r="F263" s="111"/>
      <c r="G263" s="111"/>
      <c r="H263" s="111"/>
    </row>
    <row r="264" spans="1:8" ht="12.5">
      <c r="A264" s="111"/>
      <c r="B264" s="111"/>
      <c r="C264" s="111"/>
      <c r="D264" s="111"/>
      <c r="E264" s="111"/>
      <c r="F264" s="111"/>
      <c r="G264" s="111"/>
      <c r="H264" s="111"/>
    </row>
    <row r="265" spans="1:8" ht="12.5">
      <c r="A265" s="111"/>
      <c r="B265" s="111"/>
      <c r="C265" s="111"/>
      <c r="D265" s="111"/>
      <c r="E265" s="111"/>
      <c r="F265" s="111"/>
      <c r="G265" s="111"/>
      <c r="H265" s="111"/>
    </row>
    <row r="266" spans="1:8" ht="12.5">
      <c r="A266" s="111"/>
      <c r="B266" s="111"/>
      <c r="C266" s="111"/>
      <c r="D266" s="111"/>
      <c r="E266" s="111"/>
      <c r="F266" s="111"/>
      <c r="G266" s="111"/>
      <c r="H266" s="111"/>
    </row>
    <row r="267" spans="1:8" ht="12.5">
      <c r="A267" s="111"/>
      <c r="B267" s="111"/>
      <c r="C267" s="111"/>
      <c r="D267" s="111"/>
      <c r="E267" s="111"/>
      <c r="F267" s="111"/>
      <c r="G267" s="111"/>
      <c r="H267" s="111"/>
    </row>
    <row r="268" spans="1:8" ht="12.5">
      <c r="A268" s="111"/>
      <c r="B268" s="111"/>
      <c r="C268" s="111"/>
      <c r="D268" s="111"/>
      <c r="E268" s="111"/>
      <c r="F268" s="111"/>
      <c r="G268" s="111"/>
      <c r="H268" s="111"/>
    </row>
    <row r="269" spans="1:8" ht="12.5">
      <c r="A269" s="111"/>
      <c r="B269" s="111"/>
      <c r="C269" s="111"/>
      <c r="D269" s="111"/>
      <c r="E269" s="111"/>
      <c r="F269" s="111"/>
      <c r="G269" s="111"/>
      <c r="H269" s="111"/>
    </row>
    <row r="270" spans="1:8" ht="12.5">
      <c r="A270" s="111"/>
      <c r="B270" s="111"/>
      <c r="C270" s="111"/>
      <c r="D270" s="111"/>
      <c r="E270" s="111"/>
      <c r="F270" s="111"/>
      <c r="G270" s="111"/>
      <c r="H270" s="111"/>
    </row>
    <row r="271" spans="1:8" ht="12.5">
      <c r="A271" s="111"/>
      <c r="B271" s="111"/>
      <c r="C271" s="111"/>
      <c r="D271" s="111"/>
      <c r="E271" s="111"/>
      <c r="F271" s="111"/>
      <c r="G271" s="111"/>
      <c r="H271" s="111"/>
    </row>
    <row r="272" spans="1:8" ht="12.5">
      <c r="A272" s="111"/>
      <c r="B272" s="111"/>
      <c r="C272" s="111"/>
      <c r="D272" s="111"/>
      <c r="E272" s="111"/>
      <c r="F272" s="111"/>
      <c r="G272" s="111"/>
      <c r="H272" s="111"/>
    </row>
    <row r="273" spans="1:8" ht="12.5">
      <c r="A273" s="111"/>
      <c r="B273" s="111"/>
      <c r="C273" s="111"/>
      <c r="D273" s="111"/>
      <c r="E273" s="111"/>
      <c r="F273" s="111"/>
      <c r="G273" s="111"/>
      <c r="H273" s="111"/>
    </row>
    <row r="274" spans="1:8" ht="12.5">
      <c r="A274" s="111"/>
      <c r="B274" s="111"/>
      <c r="C274" s="111"/>
      <c r="D274" s="111"/>
      <c r="E274" s="111"/>
      <c r="F274" s="111"/>
      <c r="G274" s="111"/>
      <c r="H274" s="111"/>
    </row>
    <row r="275" spans="1:8" ht="12.5">
      <c r="A275" s="111"/>
      <c r="B275" s="111"/>
      <c r="C275" s="111"/>
      <c r="D275" s="111"/>
      <c r="E275" s="111"/>
      <c r="F275" s="111"/>
      <c r="G275" s="111"/>
      <c r="H275" s="111"/>
    </row>
    <row r="276" spans="1:8" ht="12.5">
      <c r="A276" s="111"/>
      <c r="B276" s="111"/>
      <c r="C276" s="111"/>
      <c r="D276" s="111"/>
      <c r="E276" s="111"/>
      <c r="F276" s="111"/>
      <c r="G276" s="111"/>
      <c r="H276" s="111"/>
    </row>
    <row r="277" spans="1:8" ht="12.5">
      <c r="A277" s="111"/>
      <c r="B277" s="111"/>
      <c r="C277" s="111"/>
      <c r="D277" s="111"/>
      <c r="E277" s="111"/>
      <c r="F277" s="111"/>
      <c r="G277" s="111"/>
      <c r="H277" s="111"/>
    </row>
    <row r="278" spans="1:8" ht="12.5">
      <c r="A278" s="111"/>
      <c r="B278" s="111"/>
      <c r="C278" s="111"/>
      <c r="D278" s="111"/>
      <c r="E278" s="111"/>
      <c r="F278" s="111"/>
      <c r="G278" s="111"/>
      <c r="H278" s="111"/>
    </row>
    <row r="279" spans="1:8" ht="12.5">
      <c r="A279" s="111"/>
      <c r="B279" s="111"/>
      <c r="C279" s="111"/>
      <c r="D279" s="111"/>
      <c r="E279" s="111"/>
      <c r="F279" s="111"/>
      <c r="G279" s="111"/>
      <c r="H279" s="111"/>
    </row>
    <row r="280" spans="1:8" ht="12.5">
      <c r="A280" s="111"/>
      <c r="B280" s="111"/>
      <c r="C280" s="111"/>
      <c r="D280" s="111"/>
      <c r="E280" s="111"/>
      <c r="F280" s="111"/>
      <c r="G280" s="111"/>
      <c r="H280" s="111"/>
    </row>
    <row r="281" spans="1:8" ht="12.5">
      <c r="A281" s="111"/>
      <c r="B281" s="111"/>
      <c r="C281" s="111"/>
      <c r="D281" s="111"/>
      <c r="E281" s="111"/>
      <c r="F281" s="111"/>
      <c r="G281" s="111"/>
      <c r="H281" s="111"/>
    </row>
    <row r="282" spans="1:8" ht="12.5">
      <c r="A282" s="111"/>
      <c r="B282" s="111"/>
      <c r="C282" s="111"/>
      <c r="D282" s="111"/>
      <c r="E282" s="111"/>
      <c r="F282" s="111"/>
      <c r="G282" s="111"/>
      <c r="H282" s="111"/>
    </row>
    <row r="283" spans="1:8" ht="12.5">
      <c r="A283" s="111"/>
      <c r="B283" s="111"/>
      <c r="C283" s="111"/>
      <c r="D283" s="111"/>
      <c r="E283" s="111"/>
      <c r="F283" s="111"/>
      <c r="G283" s="111"/>
      <c r="H283" s="111"/>
    </row>
    <row r="284" spans="1:8" ht="12.5">
      <c r="A284" s="111"/>
      <c r="B284" s="111"/>
      <c r="C284" s="111"/>
      <c r="D284" s="111"/>
      <c r="E284" s="111"/>
      <c r="F284" s="111"/>
      <c r="G284" s="111"/>
      <c r="H284" s="111"/>
    </row>
    <row r="285" spans="1:8" ht="12.5">
      <c r="A285" s="111"/>
      <c r="B285" s="111"/>
      <c r="C285" s="111"/>
      <c r="D285" s="111"/>
      <c r="E285" s="111"/>
      <c r="F285" s="111"/>
      <c r="G285" s="111"/>
      <c r="H285" s="111"/>
    </row>
    <row r="286" spans="1:8" ht="12.5">
      <c r="A286" s="111"/>
      <c r="B286" s="111"/>
      <c r="C286" s="111"/>
      <c r="D286" s="111"/>
      <c r="E286" s="111"/>
      <c r="F286" s="111"/>
      <c r="G286" s="111"/>
      <c r="H286" s="111"/>
    </row>
    <row r="287" spans="1:8" ht="12.5">
      <c r="A287" s="111"/>
      <c r="B287" s="111"/>
      <c r="C287" s="111"/>
      <c r="D287" s="111"/>
      <c r="E287" s="111"/>
      <c r="F287" s="111"/>
      <c r="G287" s="111"/>
      <c r="H287" s="111"/>
    </row>
    <row r="288" spans="1:8" ht="12.5">
      <c r="A288" s="111"/>
      <c r="B288" s="111"/>
      <c r="C288" s="111"/>
      <c r="D288" s="111"/>
      <c r="E288" s="111"/>
      <c r="F288" s="111"/>
      <c r="G288" s="111"/>
      <c r="H288" s="111"/>
    </row>
    <row r="289" spans="1:8" ht="12.5">
      <c r="A289" s="111"/>
      <c r="B289" s="111"/>
      <c r="C289" s="111"/>
      <c r="D289" s="111"/>
      <c r="E289" s="111"/>
      <c r="F289" s="111"/>
      <c r="G289" s="111"/>
      <c r="H289" s="111"/>
    </row>
    <row r="290" spans="1:8" ht="12.5">
      <c r="A290" s="111"/>
      <c r="B290" s="111"/>
      <c r="C290" s="111"/>
      <c r="D290" s="111"/>
      <c r="E290" s="111"/>
      <c r="F290" s="111"/>
      <c r="G290" s="111"/>
      <c r="H290" s="111"/>
    </row>
    <row r="291" spans="1:8" ht="12.5">
      <c r="A291" s="111"/>
      <c r="B291" s="111"/>
      <c r="C291" s="111"/>
      <c r="D291" s="111"/>
      <c r="E291" s="111"/>
      <c r="F291" s="111"/>
      <c r="G291" s="111"/>
      <c r="H291" s="111"/>
    </row>
    <row r="292" spans="1:8" ht="12.5">
      <c r="A292" s="111"/>
      <c r="B292" s="111"/>
      <c r="C292" s="111"/>
      <c r="D292" s="111"/>
      <c r="E292" s="111"/>
      <c r="F292" s="111"/>
      <c r="G292" s="111"/>
      <c r="H292" s="111"/>
    </row>
    <row r="293" spans="1:8" ht="12.5">
      <c r="A293" s="111"/>
      <c r="B293" s="111"/>
      <c r="C293" s="111"/>
      <c r="D293" s="111"/>
      <c r="E293" s="111"/>
      <c r="F293" s="111"/>
      <c r="G293" s="111"/>
      <c r="H293" s="111"/>
    </row>
    <row r="294" spans="1:8" ht="12.5">
      <c r="A294" s="111"/>
      <c r="B294" s="111"/>
      <c r="C294" s="111"/>
      <c r="D294" s="111"/>
      <c r="E294" s="111"/>
      <c r="F294" s="111"/>
      <c r="G294" s="111"/>
      <c r="H294" s="111"/>
    </row>
    <row r="295" spans="1:8" ht="12.5">
      <c r="A295" s="111"/>
      <c r="B295" s="111"/>
      <c r="C295" s="111"/>
      <c r="D295" s="111"/>
      <c r="E295" s="111"/>
      <c r="F295" s="111"/>
      <c r="G295" s="111"/>
      <c r="H295" s="111"/>
    </row>
    <row r="296" spans="1:8" ht="12.5">
      <c r="A296" s="111"/>
      <c r="B296" s="111"/>
      <c r="C296" s="111"/>
      <c r="D296" s="111"/>
      <c r="E296" s="111"/>
      <c r="F296" s="111"/>
      <c r="G296" s="111"/>
      <c r="H296" s="111"/>
    </row>
    <row r="297" spans="1:8" ht="12.5">
      <c r="A297" s="111"/>
      <c r="B297" s="111"/>
      <c r="C297" s="111"/>
      <c r="D297" s="111"/>
      <c r="E297" s="111"/>
      <c r="F297" s="111"/>
      <c r="G297" s="111"/>
      <c r="H297" s="111"/>
    </row>
    <row r="298" spans="1:8" ht="12.5">
      <c r="A298" s="111"/>
      <c r="B298" s="111"/>
      <c r="C298" s="111"/>
      <c r="D298" s="111"/>
      <c r="E298" s="111"/>
      <c r="F298" s="111"/>
      <c r="G298" s="111"/>
      <c r="H298" s="111"/>
    </row>
    <row r="299" spans="1:8" ht="12.5">
      <c r="A299" s="111"/>
      <c r="B299" s="111"/>
      <c r="C299" s="111"/>
      <c r="D299" s="111"/>
      <c r="E299" s="111"/>
      <c r="F299" s="111"/>
      <c r="G299" s="111"/>
      <c r="H299" s="111"/>
    </row>
    <row r="300" spans="1:8" ht="12.5">
      <c r="A300" s="111"/>
      <c r="B300" s="111"/>
      <c r="C300" s="111"/>
      <c r="D300" s="111"/>
      <c r="E300" s="111"/>
      <c r="F300" s="111"/>
      <c r="G300" s="111"/>
      <c r="H300" s="111"/>
    </row>
    <row r="301" spans="1:8" ht="12.5">
      <c r="A301" s="111"/>
      <c r="B301" s="111"/>
      <c r="C301" s="111"/>
      <c r="D301" s="111"/>
      <c r="E301" s="111"/>
      <c r="F301" s="111"/>
      <c r="G301" s="111"/>
      <c r="H301" s="111"/>
    </row>
    <row r="302" spans="1:8" ht="12.5">
      <c r="A302" s="111"/>
      <c r="B302" s="111"/>
      <c r="C302" s="111"/>
      <c r="D302" s="111"/>
      <c r="E302" s="111"/>
      <c r="F302" s="111"/>
      <c r="G302" s="111"/>
      <c r="H302" s="111"/>
    </row>
    <row r="303" spans="1:8" ht="12.5">
      <c r="A303" s="111"/>
      <c r="B303" s="111"/>
      <c r="C303" s="111"/>
      <c r="D303" s="111"/>
      <c r="E303" s="111"/>
      <c r="F303" s="111"/>
      <c r="G303" s="111"/>
      <c r="H303" s="111"/>
    </row>
    <row r="304" spans="1:8" ht="12.5">
      <c r="A304" s="111"/>
      <c r="B304" s="111"/>
      <c r="C304" s="111"/>
      <c r="D304" s="111"/>
      <c r="E304" s="111"/>
      <c r="F304" s="111"/>
      <c r="G304" s="111"/>
      <c r="H304" s="111"/>
    </row>
    <row r="305" spans="1:8" ht="12.5">
      <c r="A305" s="111"/>
      <c r="B305" s="111"/>
      <c r="C305" s="111"/>
      <c r="D305" s="111"/>
      <c r="E305" s="111"/>
      <c r="F305" s="111"/>
      <c r="G305" s="111"/>
      <c r="H305" s="111"/>
    </row>
    <row r="306" spans="1:8" ht="12.5">
      <c r="A306" s="111"/>
      <c r="B306" s="111"/>
      <c r="C306" s="111"/>
      <c r="D306" s="111"/>
      <c r="E306" s="111"/>
      <c r="F306" s="111"/>
      <c r="G306" s="111"/>
      <c r="H306" s="111"/>
    </row>
    <row r="307" spans="1:8" ht="12.5">
      <c r="A307" s="111"/>
      <c r="B307" s="111"/>
      <c r="C307" s="111"/>
      <c r="D307" s="111"/>
      <c r="E307" s="111"/>
      <c r="F307" s="111"/>
      <c r="G307" s="111"/>
      <c r="H307" s="111"/>
    </row>
    <row r="308" spans="1:8" ht="12.5">
      <c r="A308" s="111"/>
      <c r="B308" s="111"/>
      <c r="C308" s="111"/>
      <c r="D308" s="111"/>
      <c r="E308" s="111"/>
      <c r="F308" s="111"/>
      <c r="G308" s="111"/>
      <c r="H308" s="111"/>
    </row>
    <row r="309" spans="1:8" ht="12.5">
      <c r="A309" s="111"/>
      <c r="B309" s="111"/>
      <c r="C309" s="111"/>
      <c r="D309" s="111"/>
      <c r="E309" s="111"/>
      <c r="F309" s="111"/>
      <c r="G309" s="111"/>
      <c r="H309" s="111"/>
    </row>
    <row r="310" spans="1:8" ht="12.5">
      <c r="A310" s="111"/>
      <c r="B310" s="111"/>
      <c r="C310" s="111"/>
      <c r="D310" s="111"/>
      <c r="E310" s="111"/>
      <c r="F310" s="111"/>
      <c r="G310" s="111"/>
      <c r="H310" s="111"/>
    </row>
    <row r="311" spans="1:8" ht="12.5">
      <c r="A311" s="111"/>
      <c r="B311" s="111"/>
      <c r="C311" s="111"/>
      <c r="D311" s="111"/>
      <c r="E311" s="111"/>
      <c r="F311" s="111"/>
      <c r="G311" s="111"/>
      <c r="H311" s="111"/>
    </row>
    <row r="312" spans="1:8" ht="12.5">
      <c r="A312" s="111"/>
      <c r="B312" s="111"/>
      <c r="C312" s="111"/>
      <c r="D312" s="111"/>
      <c r="E312" s="111"/>
      <c r="F312" s="111"/>
      <c r="G312" s="111"/>
      <c r="H312" s="111"/>
    </row>
    <row r="313" spans="1:8" ht="12.5">
      <c r="A313" s="111"/>
      <c r="B313" s="111"/>
      <c r="C313" s="111"/>
      <c r="D313" s="111"/>
      <c r="E313" s="111"/>
      <c r="F313" s="111"/>
      <c r="G313" s="111"/>
      <c r="H313" s="111"/>
    </row>
    <row r="314" spans="1:8" ht="12.5">
      <c r="A314" s="111"/>
      <c r="B314" s="111"/>
      <c r="C314" s="111"/>
      <c r="D314" s="111"/>
      <c r="E314" s="111"/>
      <c r="F314" s="111"/>
      <c r="G314" s="111"/>
      <c r="H314" s="111"/>
    </row>
    <row r="315" spans="1:8" ht="12.5">
      <c r="A315" s="111"/>
      <c r="B315" s="111"/>
      <c r="C315" s="111"/>
      <c r="D315" s="111"/>
      <c r="E315" s="111"/>
      <c r="F315" s="111"/>
      <c r="G315" s="111"/>
      <c r="H315" s="111"/>
    </row>
    <row r="316" spans="1:8" ht="12.5">
      <c r="A316" s="111"/>
      <c r="B316" s="111"/>
      <c r="C316" s="111"/>
      <c r="D316" s="111"/>
      <c r="E316" s="111"/>
      <c r="F316" s="111"/>
      <c r="G316" s="111"/>
      <c r="H316" s="111"/>
    </row>
    <row r="317" spans="1:8" ht="12.5">
      <c r="A317" s="111"/>
      <c r="B317" s="111"/>
      <c r="C317" s="111"/>
      <c r="D317" s="111"/>
      <c r="E317" s="111"/>
      <c r="F317" s="111"/>
      <c r="G317" s="111"/>
      <c r="H317" s="111"/>
    </row>
    <row r="318" spans="1:8" ht="12.5">
      <c r="A318" s="111"/>
      <c r="B318" s="111"/>
      <c r="C318" s="111"/>
      <c r="D318" s="111"/>
      <c r="E318" s="111"/>
      <c r="F318" s="111"/>
      <c r="G318" s="111"/>
      <c r="H318" s="111"/>
    </row>
    <row r="319" spans="1:8" ht="12.5">
      <c r="A319" s="111"/>
      <c r="B319" s="111"/>
      <c r="C319" s="111"/>
      <c r="D319" s="111"/>
      <c r="E319" s="111"/>
      <c r="F319" s="111"/>
      <c r="G319" s="111"/>
      <c r="H319" s="111"/>
    </row>
    <row r="320" spans="1:8" ht="12.5">
      <c r="A320" s="111"/>
      <c r="B320" s="111"/>
      <c r="C320" s="111"/>
      <c r="D320" s="111"/>
      <c r="E320" s="111"/>
      <c r="F320" s="111"/>
      <c r="G320" s="111"/>
      <c r="H320" s="111"/>
    </row>
    <row r="321" spans="1:8" ht="12.5">
      <c r="A321" s="111"/>
      <c r="B321" s="111"/>
      <c r="C321" s="111"/>
      <c r="D321" s="111"/>
      <c r="E321" s="111"/>
      <c r="F321" s="111"/>
      <c r="G321" s="111"/>
      <c r="H321" s="111"/>
    </row>
    <row r="322" spans="1:8" ht="12.5">
      <c r="A322" s="111"/>
      <c r="B322" s="111"/>
      <c r="C322" s="111"/>
      <c r="D322" s="111"/>
      <c r="E322" s="111"/>
      <c r="F322" s="111"/>
      <c r="G322" s="111"/>
      <c r="H322" s="111"/>
    </row>
    <row r="323" spans="1:8" ht="12.5">
      <c r="A323" s="111"/>
      <c r="B323" s="111"/>
      <c r="C323" s="111"/>
      <c r="D323" s="111"/>
      <c r="E323" s="111"/>
      <c r="F323" s="111"/>
      <c r="G323" s="111"/>
      <c r="H323" s="111"/>
    </row>
    <row r="324" spans="1:8" ht="12.5">
      <c r="A324" s="111"/>
      <c r="B324" s="111"/>
      <c r="C324" s="111"/>
      <c r="D324" s="111"/>
      <c r="E324" s="111"/>
      <c r="F324" s="111"/>
      <c r="G324" s="111"/>
      <c r="H324" s="111"/>
    </row>
    <row r="325" spans="1:8" ht="12.5">
      <c r="A325" s="111"/>
      <c r="B325" s="111"/>
      <c r="C325" s="111"/>
      <c r="D325" s="111"/>
      <c r="E325" s="111"/>
      <c r="F325" s="111"/>
      <c r="G325" s="111"/>
      <c r="H325" s="111"/>
    </row>
    <row r="326" spans="1:8" ht="12.5">
      <c r="A326" s="111"/>
      <c r="B326" s="111"/>
      <c r="C326" s="111"/>
      <c r="D326" s="111"/>
      <c r="E326" s="111"/>
      <c r="F326" s="111"/>
      <c r="G326" s="111"/>
      <c r="H326" s="111"/>
    </row>
    <row r="327" spans="1:8" ht="12.5">
      <c r="A327" s="111"/>
      <c r="B327" s="111"/>
      <c r="C327" s="111"/>
      <c r="D327" s="111"/>
      <c r="E327" s="111"/>
      <c r="F327" s="111"/>
      <c r="G327" s="111"/>
      <c r="H327" s="111"/>
    </row>
    <row r="328" spans="1:8" ht="12.5">
      <c r="A328" s="111"/>
      <c r="B328" s="111"/>
      <c r="C328" s="111"/>
      <c r="D328" s="111"/>
      <c r="E328" s="111"/>
      <c r="F328" s="111"/>
      <c r="G328" s="111"/>
      <c r="H328" s="111"/>
    </row>
    <row r="329" spans="1:8" ht="12.5">
      <c r="A329" s="111"/>
      <c r="B329" s="111"/>
      <c r="C329" s="111"/>
      <c r="D329" s="111"/>
      <c r="E329" s="111"/>
      <c r="F329" s="111"/>
      <c r="G329" s="111"/>
      <c r="H329" s="111"/>
    </row>
    <row r="330" spans="1:8" ht="12.5">
      <c r="A330" s="111"/>
      <c r="B330" s="111"/>
      <c r="C330" s="111"/>
      <c r="D330" s="111"/>
      <c r="E330" s="111"/>
      <c r="F330" s="111"/>
      <c r="G330" s="111"/>
      <c r="H330" s="111"/>
    </row>
    <row r="331" spans="1:8" ht="12.5">
      <c r="A331" s="111"/>
      <c r="B331" s="111"/>
      <c r="C331" s="111"/>
      <c r="D331" s="111"/>
      <c r="E331" s="111"/>
      <c r="F331" s="111"/>
      <c r="G331" s="111"/>
      <c r="H331" s="111"/>
    </row>
    <row r="332" spans="1:8" ht="12.5">
      <c r="A332" s="111"/>
      <c r="B332" s="111"/>
      <c r="C332" s="111"/>
      <c r="D332" s="111"/>
      <c r="E332" s="111"/>
      <c r="F332" s="111"/>
      <c r="G332" s="111"/>
      <c r="H332" s="111"/>
    </row>
    <row r="333" spans="1:8" ht="12.5">
      <c r="A333" s="111"/>
      <c r="B333" s="111"/>
      <c r="C333" s="111"/>
      <c r="D333" s="111"/>
      <c r="E333" s="111"/>
      <c r="F333" s="111"/>
      <c r="G333" s="111"/>
      <c r="H333" s="111"/>
    </row>
    <row r="334" spans="1:8" ht="12.5">
      <c r="A334" s="111"/>
      <c r="B334" s="111"/>
      <c r="C334" s="111"/>
      <c r="D334" s="111"/>
      <c r="E334" s="111"/>
      <c r="F334" s="111"/>
      <c r="G334" s="111"/>
      <c r="H334" s="111"/>
    </row>
    <row r="335" spans="1:8" ht="12.5">
      <c r="A335" s="111"/>
      <c r="B335" s="111"/>
      <c r="C335" s="111"/>
      <c r="D335" s="111"/>
      <c r="E335" s="111"/>
      <c r="F335" s="111"/>
      <c r="G335" s="111"/>
      <c r="H335" s="111"/>
    </row>
    <row r="336" spans="1:8" ht="12.5">
      <c r="A336" s="111"/>
      <c r="B336" s="111"/>
      <c r="C336" s="111"/>
      <c r="D336" s="111"/>
      <c r="E336" s="111"/>
      <c r="F336" s="111"/>
      <c r="G336" s="111"/>
      <c r="H336" s="111"/>
    </row>
    <row r="337" spans="1:8" ht="12.5">
      <c r="A337" s="111"/>
      <c r="B337" s="111"/>
      <c r="C337" s="111"/>
      <c r="D337" s="111"/>
      <c r="E337" s="111"/>
      <c r="F337" s="111"/>
      <c r="G337" s="111"/>
      <c r="H337" s="111"/>
    </row>
    <row r="338" spans="1:8" ht="12.5">
      <c r="A338" s="111"/>
      <c r="B338" s="111"/>
      <c r="C338" s="111"/>
      <c r="D338" s="111"/>
      <c r="E338" s="111"/>
      <c r="F338" s="111"/>
      <c r="G338" s="111"/>
      <c r="H338" s="111"/>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D133"/>
  <sheetViews>
    <sheetView showGridLines="0" zoomScale="70" workbookViewId="0">
      <selection activeCell="B27" sqref="B27"/>
    </sheetView>
  </sheetViews>
  <sheetFormatPr defaultColWidth="0" defaultRowHeight="10" zeroHeight="1"/>
  <cols>
    <col min="1" max="1" width="30.77734375" customWidth="1"/>
    <col min="2" max="2" width="20.44140625" customWidth="1"/>
    <col min="3" max="3" width="139.44140625" customWidth="1"/>
    <col min="4" max="4" width="8.77734375" customWidth="1"/>
    <col min="5" max="13" width="8.77734375" hidden="1" customWidth="1"/>
    <col min="14" max="16384" width="8.77734375" hidden="1"/>
  </cols>
  <sheetData>
    <row r="1" spans="1:3"/>
    <row r="2" spans="1:3"/>
    <row r="3" spans="1:3"/>
    <row r="4" spans="1:3"/>
    <row r="5" spans="1:3"/>
    <row r="6" spans="1:3"/>
    <row r="7" spans="1:3"/>
    <row r="8" spans="1:3"/>
    <row r="9" spans="1:3" ht="17.5">
      <c r="A9" s="289" t="s">
        <v>117</v>
      </c>
      <c r="B9" s="102"/>
      <c r="C9" s="102"/>
    </row>
    <row r="10" spans="1:3" ht="10.5">
      <c r="A10" s="102"/>
      <c r="B10" s="102"/>
      <c r="C10" s="102"/>
    </row>
    <row r="11" spans="1:3" ht="10.5">
      <c r="A11" s="102"/>
      <c r="B11" s="102"/>
      <c r="C11" s="102"/>
    </row>
    <row r="12" spans="1:3" ht="15.5">
      <c r="A12" s="193" t="s">
        <v>272</v>
      </c>
      <c r="B12" s="197">
        <v>14000</v>
      </c>
      <c r="C12" s="197">
        <v>14000</v>
      </c>
    </row>
    <row r="13" spans="1:3" ht="15.5">
      <c r="A13" s="193" t="s">
        <v>118</v>
      </c>
      <c r="B13" s="179">
        <v>0.2</v>
      </c>
      <c r="C13" s="179">
        <v>0.2</v>
      </c>
    </row>
    <row r="14" spans="1:3" ht="15.5">
      <c r="A14" s="193" t="s">
        <v>273</v>
      </c>
      <c r="B14" s="188">
        <v>14000</v>
      </c>
      <c r="C14" s="188">
        <v>14000</v>
      </c>
    </row>
    <row r="15" spans="1:3" ht="15.5">
      <c r="A15" s="193" t="s">
        <v>329</v>
      </c>
      <c r="B15" s="189">
        <v>40179</v>
      </c>
      <c r="C15" s="189">
        <v>40179</v>
      </c>
    </row>
    <row r="16" spans="1:3" ht="15.5">
      <c r="A16" s="193"/>
      <c r="B16" s="102"/>
      <c r="C16" s="102"/>
    </row>
    <row r="17" spans="1:3" ht="15.5">
      <c r="A17" s="193" t="s">
        <v>328</v>
      </c>
      <c r="B17" s="2">
        <v>0</v>
      </c>
      <c r="C17" s="2">
        <v>0</v>
      </c>
    </row>
    <row r="18" spans="1:3" ht="15.5">
      <c r="A18" s="193" t="s">
        <v>204</v>
      </c>
      <c r="B18" s="163">
        <v>0</v>
      </c>
      <c r="C18" s="163">
        <v>0</v>
      </c>
    </row>
    <row r="19" spans="1:3" ht="15.5">
      <c r="A19" s="193" t="s">
        <v>0</v>
      </c>
      <c r="B19" s="57">
        <v>0.2</v>
      </c>
      <c r="C19" s="57">
        <v>0.2</v>
      </c>
    </row>
    <row r="20" spans="1:3" ht="15.5">
      <c r="A20" s="193" t="s">
        <v>156</v>
      </c>
      <c r="B20" s="8">
        <v>42095</v>
      </c>
      <c r="C20" s="8">
        <v>42095</v>
      </c>
    </row>
    <row r="21" spans="1:3" ht="15.5">
      <c r="A21" s="193"/>
      <c r="B21" s="102"/>
      <c r="C21" s="102"/>
    </row>
    <row r="22" spans="1:3" ht="15.5">
      <c r="A22" s="193" t="s">
        <v>309</v>
      </c>
      <c r="B22" s="10">
        <v>0</v>
      </c>
      <c r="C22" s="10">
        <v>0</v>
      </c>
    </row>
    <row r="23" spans="1:3" ht="15.5">
      <c r="A23" s="193" t="s">
        <v>290</v>
      </c>
      <c r="B23" s="200">
        <v>0</v>
      </c>
      <c r="C23" s="200">
        <v>0</v>
      </c>
    </row>
    <row r="24" spans="1:3" ht="15.5">
      <c r="A24" s="193" t="s">
        <v>141</v>
      </c>
      <c r="B24" s="182">
        <v>0</v>
      </c>
      <c r="C24" s="182">
        <v>0</v>
      </c>
    </row>
    <row r="25" spans="1:3" ht="13">
      <c r="A25" s="234" t="s">
        <v>23</v>
      </c>
      <c r="B25" s="173">
        <v>41455</v>
      </c>
      <c r="C25" s="173">
        <v>41455</v>
      </c>
    </row>
    <row r="26" spans="1:3" ht="11" thickBot="1">
      <c r="A26" s="102"/>
      <c r="B26" s="102"/>
      <c r="C26" s="102"/>
    </row>
    <row r="27" spans="1:3" ht="16" thickBot="1">
      <c r="A27" s="193" t="s">
        <v>2</v>
      </c>
      <c r="B27" s="276"/>
    </row>
    <row r="28" spans="1:3" ht="10.5" thickBot="1"/>
    <row r="29" spans="1:3" ht="10.5" thickBot="1">
      <c r="A29" t="s">
        <v>25</v>
      </c>
      <c r="B29" s="267"/>
    </row>
    <row r="30" spans="1:3" ht="10.5" thickTop="1"/>
    <row r="31" spans="1:3"/>
    <row r="32" spans="1:3"/>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SelectedEquationNodes": {
    "$type": "System.Collections.Generic.List`1[[ModelMakerEngine.IEquationNode, ModelMakerEngine]], mscorlib",
    "$values": [
      {
        "$id": "2",
        "$type": "ModelMaker.VariableNode, ModelMaker",
        "RowTotalDependent": null,
        "PutCalculationOnReport": false,
        "CalculateOnThisReport": null,
        "PivotTableLink": null,
        "NumberFormatOverride": null,
        "HasOpeningBalanceFlag": false,
        "OpeningBalanceFlagAppliedName": "",
        "ToolTip": "\n Is on Assets=(BEG([Inventory]) - ([Units on order] * [Supplier price per unit]))  / [Depreciation Term]  (GBP)",
        "Deletable": true,
        "Comment": "",
        "HasSwitchSignLine": true,
        "SwitchSignForReport": true,
        "MultipleInputValues": null,
        "NonPrimaryInput": false,
        "Max": "NaN",
        "Min": "NaN",
        "IsBalanceButNotCorkscrew": false,
        "IsEditable": true,
        "IsConstant": false,
        "UniqueID": "a51a8071-602f-404b-96aa-7f849e3be39e",
        "Dimensions": {
          "$type": "ModelMakerEngine.MMDimensions, ModelMakerEngine",
          "$values": []
        },
        "EquationOBXInternal": "(BEG([Inventory]) - ([Units on order] * [Supplier price per unit]))  / [Depreciation Term] ",
        "NameOfGroup": "Assets",
        "EquationToParse": "([Inventory!!BEG] - ([Units on order] * [Supplier price per unit]))  / [Depreciation Term] ",
        "MostRecentExpectedUnitErrors": {
          "$type": "System.Collections.Generic.List`1[[System.String, mscorlib]], mscorlib",
          "$values": [
            "You are adding or subtracting something measured in GBP from something measured in UNITS * GBP"
          ]
        },
        "Units": {
          "$id": "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Depreciation this period",
        "ReportLines": {
          "$type": "ModelMaker.UndoableCollection`1[[ModelMakerEngine.IReportLine, ModelMakerEngine]], ModelMaker.Undo",
          "$values": [
            {
              "$id": "4",
              "$type": "ModelMaker.ReportLine, ModelMaker",
              "ActualsItemName": null,
              "ActualsInput": null,
              "AssociatedSchematicNode": {
                "$ref": "2"
              },
              "OpeningBalanceFlagAppliedName": "",
              "SumOfAboveIncludesPreviousTotal": false,
              "LastNameUsed": null,
              "SwitchSignForReport": true,
              "IsSumOfAbove": false,
              "ParentReport": {
                "$id": "5",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6",
                      "$type": "ModelMaker.ReportLine, ModelMaker",
                      "ActualsItemName": null,
                      "ActualsInput": null,
                      "AssociatedSchematicNode": {
                        "$id": "7",
                        "$type": "ModelMaker.VariableNode, ModelMaker",
                        "RowTotalDependent": null,
                        "PutCalculationOnReport": false,
                        "CalculateOnThisReport": null,
                        "PivotTableLink": null,
                        "NumberFormatOverride": null,
                        "HasOpeningBalanceFlag": false,
                        "OpeningBalanceFlagAppliedName": "",
                        "ToolTip": "\n Is on Income=[Sales Price Unit] * [Units in use] (GBP)",
                        "Deletable": true,
                        "Comment": "",
                        "HasSwitchSignLine": false,
                        "SwitchSignForReport": false,
                        "MultipleInputValues": null,
                        "NonPrimaryInput": false,
                        "Max": "NaN",
                        "Min": "NaN",
                        "IsBalanceButNotCorkscrew": false,
                        "IsEditable": true,
                        "IsConstant": false,
                        "UniqueID": "a59a65df-8478-47bf-8e3d-41d70659a335",
                        "Dimensions": {
                          "$type": "ModelMakerEngine.MMDimensions, ModelMakerEngine",
                          "$values": []
                        },
                        "EquationOBXInternal": "[Sales Price Unit] * [Units in use]",
                        "NameOfGroup": "Financials",
                        "EquationToParse": "[Sales Price Unit] * [Units in use]",
                        "MostRecentExpectedUnitErrors": null,
                        "Units": {
                          "$id": "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9",
                      "$type": "ModelMaker.ReportLine, ModelMaker",
                      "ActualsItemName": null,
                      "ActualsInput": null,
                      "AssociatedSchematicNode": {
                        "$id": "10",
                        "$type": "ModelMaker.VariableNode, ModelMaker",
                        "RowTotalDependent": null,
                        "PutCalculationOnReport": false,
                        "CalculateOnThisReport": null,
                        "PivotTableLink": null,
                        "NumberFormatOverride": null,
                        "HasOpeningBalanceFlag": false,
                        "OpeningBalanceFlagAppliedName": "",
                        "ToolTip": "\n Is on Expense= [Sales] * [Variable Operating Costs as a % of sales] (GBP)",
                        "Deletable": true,
                        "Comment": "",
                        "HasSwitchSignLine": true,
                        "SwitchSignForReport": true,
                        "MultipleInputValues": null,
                        "NonPrimaryInput": false,
                        "Max": "NaN",
                        "Min": "NaN",
                        "IsBalanceButNotCorkscrew": false,
                        "IsEditable": true,
                        "IsConstant": false,
                        "UniqueID": "32b289d1-3bc4-4977-94cd-2b93ba0ffb39",
                        "Dimensions": {
                          "$type": "ModelMakerEngine.MMDimensions, ModelMakerEngine",
                          "$values": []
                        },
                        "EquationOBXInternal": " [Sales] * [Variable Operating Costs as a % of sales]",
                        "NameOfGroup": "Expense",
                        "EquationToParse": " [Sales] * [Variable Operating Costs as a % of sales]",
                        "MostRecentExpectedUnitErrors": null,
                        "Units": {
                          "$id": "1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riable Operating expense",
                        "ReportLines": {
                          "$type": "ModelMaker.UndoableCollection`1[[ModelMakerEngine.IReportLine, ModelMakerEngine]], ModelMaker.Undo",
                          "$values": [
                            {
                              "$ref": "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2",
                      "$type": "ModelMaker.ReportLine, ModelMaker",
                      "ActualsItemName": null,
                      "ActualsInput": null,
                      "AssociatedSchematicNode": {
                        "$id": "13",
                        "$type": "ModelMaker.VariableNode, ModelMaker",
                        "RowTotalDependent": null,
                        "PutCalculationOnReport": false,
                        "CalculateOnThisReport": null,
                        "PivotTableLink": null,
                        "NumberFormatOverride": null,
                        "HasOpeningBalanceFlag": false,
                        "OpeningBalanceFlagAppliedName": "",
                        "ToolTip": "\n Is on Expense=[Fixed Operating Cost Growth Rate escalation indexation factor] * [Fixed operating cost base] (GBP)",
                        "Deletable": true,
                        "Comment": "",
                        "HasSwitchSignLine": true,
                        "SwitchSignForReport": true,
                        "MultipleInputValues": null,
                        "NonPrimaryInput": false,
                        "Max": "NaN",
                        "Min": "NaN",
                        "IsBalanceButNotCorkscrew": false,
                        "IsEditable": true,
                        "IsConstant": false,
                        "UniqueID": "72561b98-28a6-43b8-85d5-e19646a40f7b",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11"
                        },
                        "Name": "Fixed operating expense",
                        "ReportLines": {
                          "$type": "ModelMaker.UndoableCollection`1[[ModelMakerEngine.IReportLine, ModelMakerEngine]], ModelMaker.Undo",
                          "$values": [
                            {
                              "$ref": "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
                      "$type": "ModelMaker.ReportLine, ModelMaker",
                      "ActualsItemName": null,
                      "ActualsInput": null,
                      "AssociatedSchematicNode": {
                        "$id": "15",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454c7aa-2c80-456c-b064-ed4d1fb0218a",
                        "Dimensions": {
                          "$type": "ModelMakerEngine.MMDimensions, ModelMakerEngine",
                          "$values": []
                        },
                        "EquationOBXInternal": "",
                        "NameOfGroup": "Unallocated",
                        "EquationToParse": "",
                        "MostRecentExpectedUnitErrors": null,
                        "Units": {
                          "$ref": "11"
                        },
                        "Name": "EBITDA",
                        "ReportLines": {
                          "$type": "ModelMaker.UndoableCollection`1[[ModelMakerEngine.IReportLine, ModelMakerEngine]], ModelMaker.Undo",
                          "$values": [
                            {
                              "$ref": "1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
                    },
                    {
                      "$id": "16",
                      "$type": "ModelMaker.ReportLine, ModelMaker",
                      "ActualsItemName": null,
                      "ActualsInput": null,
                      "AssociatedSchematicNode": {
                        "$id": "1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865feda-5cc8-4f89-b6eb-cb6c34acd3eb",
                        "Dimensions": {
                          "$type": "ModelMakerEngine.MMDimensions, ModelMakerEngine",
                          "$values": []
                        },
                        "EquationOBXInternal": "",
                        "NameOfGroup": "Unallocated",
                        "EquationToParse": "",
                        "MostRecentExpectedUnitErrors": null,
                        "Units": {
                          "$ref": "11"
                        },
                        "Name": "EBIT",
                        "ReportLines": {
                          "$type": "ModelMaker.UndoableCollection`1[[ModelMakerEngine.IReportLine, ModelMakerEngine]], ModelMaker.Undo",
                          "$values": [
                            {
                              "$ref": "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
                      "$type": "ModelMaker.ReportLine, ModelMaker",
                      "ActualsItemName": null,
                      "ActualsInput": null,
                      "AssociatedSchematicNode": {
                        "$id": "1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period interest rate]*BEG([Supply Chain Finance balance]) (GBP)",
                        "Deletable": true,
                        "Comment": "",
                        "HasSwitchSignLine": true,
                        "SwitchSignForReport": true,
                        "MultipleInputValues": null,
                        "NonPrimaryInput": false,
                        "Max": "NaN",
                        "Min": "NaN",
                        "IsBalanceButNotCorkscrew": false,
                        "IsEditable": true,
                        "IsConstant": false,
                        "UniqueID": "f248e830-3e84-4e4a-a399-51ccdec45183",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2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1",
                      "$type": "ModelMaker.ReportLine, ModelMaker",
                      "ActualsItemName": null,
                      "ActualsInput": null,
                      "AssociatedSchematicNode": {
                        "$id": "22",
                        "$type": "ModelMaker.VariableNode, ModelMaker",
                        "RowTotalDependent": null,
                        "PutCalculationOnReport": false,
                        "CalculateOnThisReport": null,
                        "PivotTableLink": null,
                        "NumberFormatOverride": null,
                        "HasOpeningBalanceFlag": false,
                        "OpeningBalanceFlagAppliedName": "",
                        "ToolTip": "\n Is on Invoice finance=[Invoice finance period interest rate]*BEG([Invoice finance balance]) (GBP)",
                        "Deletable": true,
                        "Comment": "",
                        "HasSwitchSignLine": true,
                        "SwitchSignForReport": true,
                        "MultipleInputValues": null,
                        "NonPrimaryInput": false,
                        "Max": "NaN",
                        "Min": "NaN",
                        "IsBalanceButNotCorkscrew": false,
                        "IsEditable": true,
                        "IsConstant": false,
                        "UniqueID": "7f479449-963d-48db-a961-561a64433f99",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4",
                      "$type": "ModelMaker.ReportLine, ModelMaker",
                      "ActualsItemName": null,
                      "ActualsInput": null,
                      "AssociatedSchematicNode": {
                        "$id": "25",
                        "$type": "ModelMaker.VariableNode, ModelMaker",
                        "RowTotalDependent": null,
                        "PutCalculationOnReport": false,
                        "CalculateOnThisReport": null,
                        "PivotTableLink": null,
                        "NumberFormatOverride": null,
                        "HasOpeningBalanceFlag": false,
                        "OpeningBalanceFlagAppliedName": "",
                        "ToolTip": "\n Is on Asset Finance=[Asset Finance period interest rate]*BEG([Asset Finance balance]) (GBP)",
                        "Deletable": true,
                        "Comment": "",
                        "HasSwitchSignLine": true,
                        "SwitchSignForReport": true,
                        "MultipleInputValues": null,
                        "NonPrimaryInput": false,
                        "Max": "NaN",
                        "Min": "NaN",
                        "IsBalanceButNotCorkscrew": false,
                        "IsEditable": true,
                        "IsConstant": false,
                        "UniqueID": "40b442c3-116f-4826-a745-cf18d6bb78b2",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2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7",
                      "$type": "ModelMaker.ReportLine, ModelMaker",
                      "ActualsItemName": null,
                      "ActualsInput": null,
                      "AssociatedSchematicNode": {
                        "$id": "28",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213a00e0-7005-4f81-b636-83efd2ccf291",
                        "Dimensions": {
                          "$type": "ModelMakerEngine.MMDimensions, ModelMakerEngine",
                          "$values": []
                        },
                        "EquationOBXInternal": "",
                        "NameOfGroup": "Corporation tax",
                        "EquationToParse": "",
                        "MostRecentExpectedUnitErrors": null,
                        "Units": {
                          "$id": "2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2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0",
                      "$type": "ModelMaker.ReportLine, ModelMaker",
                      "ActualsItemName": null,
                      "ActualsInput": null,
                      "AssociatedSchematicNode": {
                        "$id": "31",
                        "$type": "ModelMaker.VariableNode, ModelMaker",
                        "RowTotalDependent": null,
                        "PutCalculationOnReport": false,
                        "CalculateOnThisReport": null,
                        "PivotTableLink": null,
                        "NumberFormatOverride": null,
                        "HasOpeningBalanceFlag": false,
                        "OpeningBalanceFlagAppliedName": "",
                        "ToolTip": "\n Is on Corporation tax=[Corporation tax rate]*[Taxable income net of tax losses utilised] (GBP)\r\nMeaning: Tax payable",
                        "Deletable": true,
                        "Comment": "",
                        "HasSwitchSignLine": true,
                        "SwitchSignForReport": true,
                        "MultipleInputValues": null,
                        "NonPrimaryInput": false,
                        "Max": "NaN",
                        "Min": "NaN",
                        "IsBalanceButNotCorkscrew": false,
                        "IsEditable": true,
                        "IsConstant": false,
                        "UniqueID": "010c1a1f-1e55-432b-a613-968f9a11b7db",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3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3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33",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4",
                      "$type": "ModelMaker.ReportLine, ModelMaker",
                      "ActualsItemName": null,
                      "ActualsInput": null,
                      "AssociatedSchematicNode": {
                        "$id": "35",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2fcb3e51-4f32-4a35-ba18-38deba8c2081",
                        "Dimensions": {
                          "$type": "ModelMakerEngine.MMDimensions, ModelMakerEngine",
                          "$values": []
                        },
                        "EquationOBXInternal": "",
                        "NameOfGroup": "Unallocated",
                        "EquationToParse": "",
                        "MostRecentExpectedUnitErrors": null,
                        "Units": {
                          "$ref": "11"
                        },
                        "Name": "Retained Earnings this period",
                        "ReportLines": {
                          "$type": "ModelMaker.UndoableCollection`1[[ModelMakerEngine.IReportLine, ModelMakerEngine]], ModelMaker.Undo",
                          "$values": [
                            {
                              "$ref": "3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come Statemen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HasMultipleTimelines": false,
  "Dimensions": {
    "$type": "ModelMakerEngine.MMDimensions, ModelMakerEngine",
    "$values": []
  },
  "HasDimensions": false,
  "DefaultUnit": {
    "$ref": "11"
  },
  "FileVersion": 2,
  "FilePath": "C:\\Users\\andyd\\OneDrive\\Documents\\Financial Models\\AQR\\Aquarate.obz",
  "Nodes": {
    "$type": "ModelMaker.Models.ProjectItemSet`1[[ModelMakerEngine.INode, ModelMakerEngine]], ModelMaker",
    "$values": [
      {
        "$id": "36",
        "$type": "ModelMaker.GroupNode, ModelMaker",
        "TabOrHeaderColour": "",
        "Comment": "",
        "NameOfGroup": null,
        "YPosition": 0,
        "Folded": false,
        "Font": null,
        "Children": {
          "$type": "ModelMaker.GroupNodeChildCollection, ModelMaker",
          "$values": [
            {
              "$id": "3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54a31c9-ae29-4cbe-897e-08afcae0a47e",
              "Dimensions": {
                "$type": "ModelMakerEngine.MMDimensions, ModelMakerEngine",
                "$values": []
              },
              "EquationOBXInternal": "",
              "NameOfGroup": "Unallocated",
              "EquationToParse": "",
              "MostRecentExpectedUnitErrors": null,
              "Units": {
                "$ref": "11"
              },
              "Name": "Net Cashflow",
              "ReportLines": {
                "$type": "ModelMaker.UndoableCollection`1[[ModelMakerEngine.IReportLine, ModelMakerEngine]], ModelMaker.Undo",
                "$values": [
                  {
                    "$id": "38",
                    "$type": "ModelMaker.ReportLine, ModelMaker",
                    "ActualsItemName": null,
                    "ActualsInput": null,
                    "AssociatedSchematicNode": {
                      "$ref": "37"
                    },
                    "OpeningBalanceFlagAppliedName": "",
                    "SumOfAboveIncludesPreviousTotal": true,
                    "LastNameUsed": null,
                    "SwitchSignForReport": false,
                    "IsSumOfAbove": true,
                    "ParentReport": {
                      "$id": "39",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40",
                            "$type": "ModelMaker.ReportLine, ModelMaker",
                            "ActualsItemName": null,
                            "ActualsInput": null,
                            "AssociatedSchematicNode": {
                              "$id": "41",
                              "$type": "ModelMaker.VariableNode, ModelMaker",
                              "RowTotalDependent": null,
                              "PutCalculationOnReport": false,
                              "CalculateOnThisReport": null,
                              "PivotTableLink": null,
                              "NumberFormatOverride": null,
                              "HasOpeningBalanceFlag": false,
                              "OpeningBalanceFlagAppliedName": "",
                              "ToolTip": "\n Is on Working Capital=DELAY([New Deferred Income from customer orders], [Customer payment terms (months)],0) + DELAY([Output VAT], [Customer payment terms (months)],0)  (GBP)",
                              "Deletable": true,
                              "Comment": "",
                              "HasSwitchSignLine": false,
                              "SwitchSignForReport": false,
                              "MultipleInputValues": null,
                              "NonPrimaryInput": false,
                              "Max": "NaN",
                              "Min": "NaN",
                              "IsBalanceButNotCorkscrew": false,
                              "IsEditable": true,
                              "IsConstant": false,
                              "UniqueID": "39e877b0-57f0-478d-8e98-c5a068294fbc",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4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4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3",
                            "$type": "ModelMaker.ReportLine, ModelMaker",
                            "ActualsItemName": null,
                            "ActualsInput": null,
                            "AssociatedSchematicNode": {
                              "$id": "44",
                              "$type": "ModelMaker.VariableNode, ModelMaker",
                              "RowTotalDependent": null,
                              "PutCalculationOnReport": false,
                              "CalculateOnThisReport": null,
                              "PivotTableLink": null,
                              "NumberFormatOverride": null,
                              "HasOpeningBalanceFlag": false,
                              "OpeningBalanceFlagAppliedName": "",
                              "ToolTip": "\n Is on Working Capital= [Fixed operating expense] + [Variable Operating expense] +[VAT on operating expense] (GBP)",
                              "Deletable": true,
                              "Comment": "",
                              "HasSwitchSignLine": true,
                              "SwitchSignForReport": true,
                              "MultipleInputValues": null,
                              "NonPrimaryInput": false,
                              "Max": "NaN",
                              "Min": "NaN",
                              "IsBalanceButNotCorkscrew": false,
                              "IsEditable": true,
                              "IsConstant": false,
                              "UniqueID": "6f00c39f-a40b-4979-85cc-0e0066c8e333",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11"
                              },
                              "Name": "Cash out on Operating Expense",
                              "ReportLines": {
                                "$type": "ModelMaker.UndoableCollection`1[[ModelMakerEngine.IReportLine, ModelMakerEngine]], ModelMaker.Undo",
                                "$values": [
                                  {
                                    "$ref": "4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Working Capital",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5",
                            "$type": "ModelMaker.ReportLine, ModelMaker",
                            "ActualsItemName": null,
                            "ActualsInput": null,
                            "AssociatedSchematicNode": {
                              "$id": "46",
                              "$type": "ModelMaker.VariableNode, ModelMaker",
                              "RowTotalDependent": null,
                              "PutCalculationOnReport": false,
                              "CalculateOnThisReport": null,
                              "PivotTableLink": null,
                              "NumberFormatOverride": null,
                              "HasOpeningBalanceFlag": false,
                              "OpeningBalanceFlagAppliedName": "",
                              "ToolTip": "\n Is on VAT=DELAY([VAT quarterly return],[VAT payment delay],0) (GBP)",
                              "Deletable": true,
                              "Comment": "",
                              "HasSwitchSignLine": true,
                              "SwitchSignForReport": true,
                              "MultipleInputValues": null,
                              "NonPrimaryInput": false,
                              "Max": "NaN",
                              "Min": "NaN",
                              "IsBalanceButNotCorkscrew": false,
                              "IsEditable": true,
                              "IsConstant": false,
                              "UniqueID": "7a4bc187-dc10-4750-983a-56ecc57f2dd8",
                              "Dimensions": {
                                "$type": "ModelMakerEngine.MMDimensions, ModelMakerEngine",
                                "$values": []
                              },
                              "EquationOBXInternal": "DELAY([VAT quarterly return],[VAT payment delay],0)",
                              "NameOfGroup": "VAT",
                              "EquationToParse": "DELAY([VAT quarterly return],[VAT payment delay],0)",
                              "MostRecentExpectedUnitErrors": null,
                              "Units": {
                                "$id": "4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
                            "$type": "ModelMaker.ReportLine, ModelMaker",
                            "ActualsItemName": null,
                            "ActualsInput": null,
                            "AssociatedSchematicNode": {
                              "$id": "49",
                              "$type": "ModelMaker.VariableNode, ModelMaker",
                              "RowTotalDependent": null,
                              "PutCalculationOnReport": false,
                              "CalculateOnThisReport": null,
                              "PivotTableLink": null,
                              "NumberFormatOverride": null,
                              "HasOpeningBalanceFlag": false,
                              "OpeningBalanceFlagAppliedName": "",
                              "ToolTip": "\n Is on Corporation tax.Corporation tax creditor=BEG([Corporation tax creditor]) * [Corporation tax paid this period] (GBP)\r\nMeaning: Tax payable",
                              "Deletable": true,
                              "Comment": "",
                              "HasSwitchSignLine": true,
                              "SwitchSignForReport": true,
                              "MultipleInputValues": null,
                              "NonPrimaryInput": false,
                              "Max": "NaN",
                              "Min": "NaN",
                              "IsBalanceButNotCorkscrew": false,
                              "IsEditable": true,
                              "IsConstant": false,
                              "UniqueID": "e8455b86-7d4d-48e9-a09e-61746d298a13",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5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4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51",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2",
                            "$type": "ModelMaker.ReportLine, ModelMaker",
                            "ActualsItemName": null,
                            "ActualsInput": null,
                            "AssociatedSchematicNode": {
                              "$id": "53",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b37b1526-d773-4465-8cec-d32cff25771a",
                              "Dimensions": {
                                "$type": "ModelMakerEngine.MMDimensions, ModelMakerEngine",
                                "$values": []
                              },
                              "EquationOBXInternal": "",
                              "NameOfGroup": "Unallocated",
                              "EquationToParse": "",
                              "MostRecentExpectedUnitErrors": null,
                              "Units": {
                                "$ref": "11"
                              },
                              "Name": "Operating Cashflow",
                              "ReportLines": {
                                "$type": "ModelMaker.UndoableCollection`1[[ModelMakerEngine.IReportLine, ModelMakerEngine]], ModelMaker.Undo",
                                "$values": [
                                  {
                                    "$ref": "5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4",
                            "$type": "ModelMaker.ReportLine, ModelMaker",
                            "ActualsItemName": null,
                            "ActualsInput": null,
                            "AssociatedSchematicNode": {
                              "$id": "55",
                              "$type": "ModelMaker.VariableNode, ModelMaker",
                              "RowTotalDependent": null,
                              "PutCalculationOnReport": false,
                              "CalculateOnThisReport": null,
                              "PivotTableLink": null,
                              "NumberFormatOverride": null,
                              "HasOpeningBalanceFlag": false,
                              "OpeningBalanceFlagAppliedName": "",
                              "ToolTip": "\n Is on Working Capital=(1 + [VAT rate]) * (DELAY([Units ordered], [Order lead time (months)],0) * [Supplier price per unit] * (1-[Supplier order deposit]))+([Units ordered] * [Supplier price per unit] * [Supplier order deposit]) (GBP)",
                              "Deletable": true,
                              "Comment": "",
                              "HasSwitchSignLine": true,
                              "SwitchSignForReport": true,
                              "MultipleInputValues": null,
                              "NonPrimaryInput": false,
                              "Max": "NaN",
                              "Min": "NaN",
                              "IsBalanceButNotCorkscrew": false,
                              "IsEditable": true,
                              "IsConstant": false,
                              "UniqueID": "704f02b1-c35d-4cae-a722-ecca0edefb68",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5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7",
                            "$type": "ModelMaker.ReportLine, ModelMaker",
                            "ActualsItemName": null,
                            "ActualsInput": null,
                            "AssociatedSchematicNode": {
                              "$id": "58",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eb8abea-e035-476f-8344-725410c00e69",
                              "Dimensions": {
                                "$type": "ModelMakerEngine.MMDimensions, ModelMakerEngine",
                                "$values": []
                              },
                              "EquationOBXInternal": "",
                              "NameOfGroup": "Unallocated",
                              "EquationToParse": "",
                              "MostRecentExpectedUnitErrors": null,
                              "Units": {
                                "$ref": "11"
                              },
                              "Name": "CF after capex",
                              "ReportLines": {
                                "$type": "ModelMaker.UndoableCollection`1[[ModelMakerEngine.IReportLine, ModelMakerEngine]], ModelMaker.Undo",
                                "$values": [
                                  {
                                    "$ref": "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9",
                            "$type": "ModelMaker.ReportLine, ModelMaker",
                            "ActualsItemName": null,
                            "ActualsInput": null,
                            "AssociatedSchematicNode": {
                              "$id": "60",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enabled flag]*([Units ordered]*[Supplier price per unit]*[Supply Chain Finance Advance %]) (GBP)",
                              "Deletable": true,
                              "Comment": "",
                              "HasSwitchSignLine": false,
                              "SwitchSignForReport": false,
                              "MultipleInputValues": null,
                              "NonPrimaryInput": false,
                              "Max": "NaN",
                              "Min": "NaN",
                              "IsBalanceButNotCorkscrew": false,
                              "IsEditable": true,
                              "IsConstant": false,
                              "UniqueID": "d85c8bf2-0193-4ce1-af3d-b704c6008538",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5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2",
                            "$type": "ModelMaker.ReportLine, ModelMaker",
                            "ActualsItemName": null,
                            "ActualsInput": null,
                            "AssociatedSchematicNode": {
                              "$id": "63",
                              "$type": "ModelMaker.VariableNode, ModelMaker",
                              "RowTotalDependent": null,
                              "PutCalculationOnReport": false,
                              "CalculateOnThisReport": null,
                              "PivotTableLink": null,
                              "NumberFormatOverride": null,
                              "HasOpeningBalanceFlag": false,
                              "OpeningBalanceFlagAppliedName": "",
                              "ToolTip": "\n Is on Supply Chain finance=DELAY([Supply Chain Finance drawdown],[Order lead time (months)],0) (GBP)",
                              "Deletable": true,
                              "Comment": "",
                              "HasSwitchSignLine": true,
                              "SwitchSignForReport": true,
                              "MultipleInputValues": null,
                              "NonPrimaryInput": false,
                              "Max": "NaN",
                              "Min": "NaN",
                              "IsBalanceButNotCorkscrew": false,
                              "IsEditable": true,
                              "IsConstant": false,
                              "UniqueID": "08411e57-5711-48d5-b9a6-ec8b1bd17426",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6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6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5",
                            "$type": "ModelMaker.ReportLine, ModelMaker",
                            "ActualsItemName": null,
                            "ActualsInput": null,
                            "AssociatedSchematicNode": {
                              "$id": "66",
                              "$type": "ModelMaker.VariableNode, ModelMaker",
                              "RowTotalDependent": null,
                              "PutCalculationOnReport": false,
                              "CalculateOnThisReport": null,
                              "PivotTableLink": null,
                              "NumberFormatOverride": null,
                              "HasOpeningBalanceFlag": false,
                              "OpeningBalanceFlagAppliedName": "",
                              "ToolTip": "\n Is on Invoice finance=[Invoice Finance Enabled flag] *[Income]*[Invoice Finance Advance %] (GBP)",
                              "Deletable": true,
                              "Comment": "",
                              "HasSwitchSignLine": false,
                              "SwitchSignForReport": false,
                              "MultipleInputValues": null,
                              "NonPrimaryInput": false,
                              "Max": "NaN",
                              "Min": "NaN",
                              "IsBalanceButNotCorkscrew": false,
                              "IsEditable": true,
                              "IsConstant": false,
                              "UniqueID": "1795d01c-4c2b-4d8a-9992-564a45c4ece9",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6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8",
                            "$type": "ModelMaker.ReportLine, ModelMaker",
                            "ActualsItemName": null,
                            "ActualsInput": null,
                            "AssociatedSchematicNode": {
                              "$id": "69",
                              "$type": "ModelMaker.VariableNode, ModelMaker",
                              "RowTotalDependent": null,
                              "PutCalculationOnReport": false,
                              "CalculateOnThisReport": null,
                              "PivotTableLink": null,
                              "NumberFormatOverride": null,
                              "HasOpeningBalanceFlag": false,
                              "OpeningBalanceFlagAppliedName": "",
                              "ToolTip": "\n Is on Invoice finance=DELAY([Invoice finance drawdown],[Customer payment terms (months)],0) (GBP)",
                              "Deletable": true,
                              "Comment": "",
                              "HasSwitchSignLine": true,
                              "SwitchSignForReport": true,
                              "MultipleInputValues": null,
                              "NonPrimaryInput": false,
                              "Max": "NaN",
                              "Min": "NaN",
                              "IsBalanceButNotCorkscrew": false,
                              "IsEditable": true,
                              "IsConstant": false,
                              "UniqueID": "f272fea8-0bc8-44b4-867f-a0bf3f2d9bf6",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1",
                            "$type": "ModelMaker.ReportLine, ModelMaker",
                            "ActualsItemName": null,
                            "ActualsInput": null,
                            "AssociatedSchematicNode": {
                              "$id": "72",
                              "$type": "ModelMaker.VariableNode, ModelMaker",
                              "RowTotalDependent": null,
                              "PutCalculationOnReport": false,
                              "CalculateOnThisReport": null,
                              "PivotTableLink": null,
                              "NumberFormatOverride": null,
                              "HasOpeningBalanceFlag": false,
                              "OpeningBalanceFlagAppliedName": "",
                              "ToolTip": "\n Is on Asset Finance=[Asset Finance Enabled flag]*[Units delivered]*[Supplier price per unit]*[Asset Finance Advance %] (GBP)",
                              "Deletable": true,
                              "Comment": "",
                              "HasSwitchSignLine": false,
                              "SwitchSignForReport": false,
                              "MultipleInputValues": null,
                              "NonPrimaryInput": false,
                              "Max": "NaN",
                              "Min": "NaN",
                              "IsBalanceButNotCorkscrew": false,
                              "IsEditable": true,
                              "IsConstant": false,
                              "UniqueID": "6e82926d-5328-4864-b66e-cd9aa26ee603",
                              "Dimensions": {
                                "$type": "ModelMakerEngine.MMDimensions, ModelMakerEngine",
                                "$values": []
                              },
                              "EquationOBXInternal": "[Asset Finance Enabled flag]*[Units delivered]*[Supplier price per unit]*[Asset Finance Advance %]",
                              "NameOfGroup": "Trade Finance",
                              "EquationToParse": "[Asset Finance Enabled flag]*[Units delivered]*[Supplier price per unit]*[Asset Finance Advance %]",
                              "MostRecentExpectedUnitErrors": null,
                              "Units": {
                                "$id": "7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7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4",
                            "$type": "ModelMaker.ReportLine, ModelMaker",
                            "ActualsItemName": null,
                            "ActualsInput": null,
                            "AssociatedSchematicNode": {
                              "$id": "75",
                              "$type": "ModelMaker.VariableNode, ModelMaker",
                              "RowTotalDependent": null,
                              "PutCalculationOnReport": false,
                              "CalculateOnThisReport": null,
                              "PivotTableLink": null,
                              "NumberFormatOverride": null,
                              "HasOpeningBalanceFlag": false,
                              "OpeningBalanceFlagAppliedName": "",
                              "ToolTip": "\n Is on Asset Finance=BEG([Asset Finance balance])/[Asset Finance Period] (GBP)",
                              "Deletable": true,
                              "Comment": "",
                              "HasSwitchSignLine": true,
                              "SwitchSignForReport": true,
                              "MultipleInputValues": null,
                              "NonPrimaryInput": false,
                              "Max": "NaN",
                              "Min": "NaN",
                              "IsBalanceButNotCorkscrew": false,
                              "IsEditable": true,
                              "IsConstant": false,
                              "UniqueID": "7231bfe4-6d6f-4b7d-9445-101a06491bbf",
                              "Dimensions": {
                                "$type": "ModelMakerEngine.MMDimensions, ModelMakerEngine",
                                "$values": []
                              },
                              "EquationOBXInternal": "BEG([Asset Finance balance])/[Asset Finance Period]",
                              "NameOfGroup": "Trade Finance",
                              "EquationToParse": "[Asset Finance balance!!BEG]/[Asset Finance Period]",
                              "MostRecentExpectedUnitErrors": null,
                              "Units": {
                                "$id": "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7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7",
                            "$type": "ModelMaker.ReportLine, ModelMaker",
                            "ActualsItemName": null,
                            "ActualsInput": null,
                            "AssociatedSchematicNode": {
                              "$id": "78",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 (GBP)",
                              "Deletable": true,
                              "Comment": "",
                              "HasSwitchSignLine": true,
                              "SwitchSignForReport": true,
                              "MultipleInputValues": null,
                              "NonPrimaryInput": false,
                              "Max": "NaN",
                              "Min": "NaN",
                              "IsBalanceButNotCorkscrew": false,
                              "IsEditable": true,
                              "IsConstant": false,
                              "UniqueID": "470c75f5-2adc-4ec7-8118-61c71be3d606",
                              "Dimensions": {
                                "$type": "ModelMakerEngine.MMDimensions, ModelMakerEngine",
                                "$values": []
                              },
                              "EquationOBXInternal": "[Supply Chain Finance interest]",
                              "NameOfGroup": "Trade Finance",
                              "EquationToParse": "[Supply Chain Finance interest]",
                              "MostRecentExpectedUnitErrors": null,
                              "Units": {
                                "$id": "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7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0",
                            "$type": "ModelMaker.ReportLine, ModelMaker",
                            "ActualsItemName": null,
                            "ActualsInput": null,
                            "AssociatedSchematicNode": {
                              "$id": "81",
                              "$type": "ModelMaker.VariableNode, ModelMaker",
                              "RowTotalDependent": null,
                              "PutCalculationOnReport": false,
                              "CalculateOnThisReport": null,
                              "PivotTableLink": null,
                              "NumberFormatOverride": null,
                              "HasOpeningBalanceFlag": false,
                              "OpeningBalanceFlagAppliedName": "",
                              "ToolTip": "\n Is on Invoice finance=[Invoice finance interest] (GBP)",
                              "Deletable": true,
                              "Comment": "",
                              "HasSwitchSignLine": true,
                              "SwitchSignForReport": true,
                              "MultipleInputValues": null,
                              "NonPrimaryInput": false,
                              "Max": "NaN",
                              "Min": "NaN",
                              "IsBalanceButNotCorkscrew": false,
                              "IsEditable": true,
                              "IsConstant": false,
                              "UniqueID": "04f25f93-bb2c-4f93-929b-ccddd1379851",
                              "Dimensions": {
                                "$type": "ModelMakerEngine.MMDimensions, ModelMakerEngine",
                                "$values": []
                              },
                              "EquationOBXInternal": "[Invoice finance interest]",
                              "NameOfGroup": "Invoice finance",
                              "EquationToParse": "[Invoice finance interest]",
                              "MostRecentExpectedUnitErrors": null,
                              "Units": {
                                "$id": "8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3",
                            "$type": "ModelMaker.ReportLine, ModelMaker",
                            "ActualsItemName": null,
                            "ActualsInput": null,
                            "AssociatedSchematicNode": {
                              "$id": "84",
                              "$type": "ModelMaker.VariableNode, ModelMaker",
                              "RowTotalDependent": null,
                              "PutCalculationOnReport": false,
                              "CalculateOnThisReport": null,
                              "PivotTableLink": null,
                              "NumberFormatOverride": null,
                              "HasOpeningBalanceFlag": false,
                              "OpeningBalanceFlagAppliedName": "",
                              "ToolTip": "\n Is on Asset Finance=[Asset Finance interest] (GBP)",
                              "Deletable": true,
                              "Comment": "",
                              "HasSwitchSignLine": true,
                              "SwitchSignForReport": true,
                              "MultipleInputValues": null,
                              "NonPrimaryInput": false,
                              "Max": "NaN",
                              "Min": "NaN",
                              "IsBalanceButNotCorkscrew": false,
                              "IsEditable": true,
                              "IsConstant": false,
                              "UniqueID": "15890009-bae6-4a7d-9c3e-8b814a31a949",
                              "Dimensions": {
                                "$type": "ModelMakerEngine.MMDimensions, ModelMakerEngine",
                                "$values": []
                              },
                              "EquationOBXInternal": "[Asset Finance interest]",
                              "NameOfGroup": "Trade Finance",
                              "EquationToParse": "[Asset Finance interest]",
                              "MostRecentExpectedUnitErrors": null,
                              "Units": {
                                "$id": "8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8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3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6",
                            "$type": "ModelMaker.ReportLine, ModelMaker",
                            "ActualsItemName": null,
                            "ActualsInput": null,
                            "AssociatedSchematicNode": {
                              "$id": "8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a097ece-fef6-47bf-8c39-3046e55f8a01",
                              "Dimensions": {
                                "$type": "ModelMakerEngine.MMDimensions, ModelMakerEngine",
                                "$values": []
                              },
                              "EquationOBXInternal": "",
                              "NameOfGroup": "Unallocated",
                              "EquationToParse": "",
                              "MostRecentExpectedUnitErrors": null,
                              "Units": {
                                "$ref": "11"
                              },
                              "Name": "CF after financing",
                              "ReportLines": {
                                "$type": "ModelMaker.UndoableCollection`1[[ModelMakerEngine.IReportLine, ModelMakerEngine]], ModelMaker.Undo",
                                "$values": [
                                  {
                                    "$ref": "8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3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8",
                            "$type": "ModelMaker.ReportLine, ModelMaker",
                            "ActualsItemName": null,
                            "ActualsInput": null,
                            "AssociatedSchematicNode": {
                              "$id": "89",
                              "$type": "ModelMaker.VariableNode, ModelMaker",
                              "RowTotalDependent": null,
                              "PutCalculationOnReport": false,
                              "CalculateOnThisReport": null,
                              "PivotTableLink": null,
                              "NumberFormatOverride": null,
                              "HasOpeningBalanceFlag": false,
                              "OpeningBalanceFlagAppliedName": "",
                              "ToolTip": "\n Is on Inputs.Equity= (GBP)",
                              "Deletable": true,
                              "Comment": "",
                              "HasSwitchSignLine": false,
                              "SwitchSignForReport": false,
                              "MultipleInputValues": null,
                              "NonPrimaryInput": false,
                              "Max": "NaN",
                              "Min": "NaN",
                              "IsBalanceButNotCorkscrew": false,
                              "IsEditable": true,
                              "IsConstant": false,
                              "UniqueID": "7d14b971-263d-4fb3-8edd-444bae77a7cc",
                              "Dimensions": {
                                "$type": "ModelMakerEngine.MMDimensions, ModelMakerEngine",
                                "$values": []
                              },
                              "EquationOBXInternal": null,
                              "NameOfGroup": "Equity",
                              "EquationToParse": "",
                              "MostRecentExpectedUnitErrors": null,
                              "Units": {
                                "$ref": "11"
                              },
                              "Name": "New share capital issued",
                              "ReportLines": {
                                "$type": "ModelMaker.UndoableCollection`1[[ModelMakerEngine.IReportLine, ModelMakerEngine]], ModelMaker.Undo",
                                "$values": [
                                  {
                                    "$ref": "8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39"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8"
                          }
                        ]
                      },
                      "YPosition": -1,
                      "Name": "Cashflow",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53"
            },
            {
              "$ref": "58"
            },
            {
              "$ref": "87"
            },
            {
              "$ref": "35"
            },
            {
              "$id": "90",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f242524a-976f-4068-a2a3-30c223d807b9",
              "Dimensions": {
                "$type": "ModelMakerEngine.MMDimensions, ModelMakerEngine",
                "$values": []
              },
              "EquationOBXInternal": "",
              "NameOfGroup": "Unallocated",
              "EquationToParse": "",
              "MostRecentExpectedUnitErrors": null,
              "Units": {
                "$ref": "11"
              },
              "Name": "Assets",
              "ReportLines": {
                "$type": "ModelMaker.UndoableCollection`1[[ModelMakerEngine.IReportLine, ModelMakerEngine]], ModelMaker.Undo",
                "$values": [
                  {
                    "$id": "91",
                    "$type": "ModelMaker.ReportLine, ModelMaker",
                    "ActualsItemName": null,
                    "ActualsInput": null,
                    "AssociatedSchematicNode": {
                      "$ref": "90"
                    },
                    "OpeningBalanceFlagAppliedName": "",
                    "SumOfAboveIncludesPreviousTotal": true,
                    "LastNameUsed": null,
                    "SwitchSignForReport": false,
                    "IsSumOfAbove": true,
                    "ParentReport": {
                      "$id": "92",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3",
                            "$type": "ModelMaker.ReportLine, ModelMaker",
                            "ActualsItemName": null,
                            "ActualsInput": null,
                            "AssociatedSchematicNode": {
                              "$id": "94",
                              "$type": "ModelMaker.StockNode, ModelMaker",
                              "OpeningOrActualsName": "",
                              "InFlows": {
                                "$type": "System.Collections.Generic.List`1[[ModelMakerEngine.IEquationNode, ModelMakerEngine]], mscorlib",
                                "$values": [
                                  {
                                    "$id": "95",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ordered] , [Order Quantity])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62518f87-5041-414b-b813-ad75bcf3b666",
                                    "Dimensions": {
                                      "$type": "ModelMakerEngine.MMDimensions, ModelMakerEngine",
                                      "$values": []
                                    },
                                    "EquationOBXInternal": "IF([Use short term forecast flag] =1, [STF Units ordered] , [Order Quantity])",
                                    "NameOfGroup": "Inventory",
                                    "EquationToParse": "IF([Use short term forecast flag] =1, [STF Units ordered] , [Order Quantity])",
                                    "MostRecentExpectedUnitErrors": {
                                      "$type": "System.Collections.Generic.List`1[[System.String, mscorlib]], mscorlib",
                                      "$values": [
                                        "The TRUE part of the IF function measured in GBP but the FALSE part measured in Units"
                                      ]
                                    },
                                    "Units": {
                                      "$id": "9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7",
                                          "$type": "ModelMaker.ReportLine, ModelMaker",
                                          "ActualsItemName": null,
                                          "ActualsInput": null,
                                          "AssociatedSchematicNode": {
                                            "$ref": "95"
                                          },
                                          "OpeningBalanceFlagAppliedName": "",
                                          "SumOfAboveIncludesPreviousTotal": false,
                                          "LastNameUsed": null,
                                          "SwitchSignForReport": false,
                                          "IsSumOfAbove": false,
                                          "ParentReport": {
                                            "$id": "98",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9",
                                                  "$type": "ModelMaker.ReportLine, ModelMaker",
                                                  "ActualsItemName": null,
                                                  "ActualsInput": null,
                                                  "AssociatedSchematicNode": {
                                                    "$id": "100",
                                                    "$type": "ModelMaker.VariableNode, ModelMaker",
                                                    "RowTotalDependent": null,
                                                    "PutCalculationOnReport": false,
                                                    "CalculateOnThisReport": null,
                                                    "PivotTableLink": null,
                                                    "NumberFormatOverride": null,
                                                    "HasOpeningBalanceFlag": false,
                                                    "OpeningBalanceFlagAppliedName": "",
                                                    "ToolTip": "\n Is on Customers=IF([Use short term forecast flag] =1, [STF New Customer orders] , IF( [Period number] = 1, [Customer base order number], PREVIOUSVALUE() *(1+[Monthly Growth Rate])))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9589f8a7-f371-44e1-af38-ff3fcd3f919e",
                                                    "Dimensions": {
                                                      "$type": "ModelMakerEngine.MMDimensions, ModelMakerEngine",
                                                      "$values": []
                                                    },
                                                    "EquationOBXInternal": "IF([Use short term forecast flag] =1, [STF New Customer orders] , IF( [Period number] = 1, [Customer base order number], PREVIOUSVALUE() *(1+[Monthly Growth Rate])))",
                                                    "NameOfGroup": "Customers",
                                                    "EquationToParse": "IF([Use short term forecast flag] =1, [STF New Customer orders] , IF( [Period number] = 1, [Customer base order number], PREVIOUSVALUE() *(1+[Monthly Growth Rate])))",
                                                    "MostRecentExpectedUnitErrors": {
                                                      "$type": "System.Collections.Generic.List`1[[System.String, mscorlib]], mscorlib",
                                                      "$values": [
                                                        "The TRUE part of the IF function measured in GBP but the FALSE part measured in Units"
                                                      ]
                                                    },
                                                    "Units": {
                                                      "$id": "10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 orders",
                                                    "ReportLines": {
                                                      "$type": "ModelMaker.UndoableCollection`1[[ModelMakerEngine.IReportLine, ModelMakerEngine]], ModelMaker.Undo",
                                                      "$values": [
                                                        {
                                                          "$ref": "99"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2",
                                                  "$type": "ModelMaker.ReportLine, ModelMaker",
                                                  "ActualsItemName": null,
                                                  "ActualsInput": null,
                                                  "AssociatedSchematicNode": {
                                                    "$id": "103",
                                                    "$type": "ModelMaker.VariableNode, ModelMaker",
                                                    "RowTotalDependent": null,
                                                    "PutCalculationOnReport": false,
                                                    "CalculateOnThisReport": null,
                                                    "PivotTableLink": null,
                                                    "NumberFormatOverride": null,
                                                    "HasOpeningBalanceFlag": false,
                                                    "OpeningBalanceFlagAppliedName": "",
                                                    "ToolTip": "\n Is on Customers= [Customer Retention] * DELAY([New customer orders],24,0) (Units)",
                                                    "Deletable": true,
                                                    "Comment": "",
                                                    "HasSwitchSignLine": false,
                                                    "SwitchSignForReport": false,
                                                    "MultipleInputValues": null,
                                                    "NonPrimaryInput": false,
                                                    "Max": "NaN",
                                                    "Min": "NaN",
                                                    "IsBalanceButNotCorkscrew": false,
                                                    "IsEditable": true,
                                                    "IsConstant": false,
                                                    "UniqueID": "44eb00f7-024a-420c-8104-5f6baa0a152c",
                                                    "Dimensions": {
                                                      "$type": "ModelMakerEngine.MMDimensions, ModelMakerEngine",
                                                      "$values": []
                                                    },
                                                    "EquationOBXInternal": " [Customer Retention] * DELAY([New customer orders],24,0)",
                                                    "NameOfGroup": "Customers",
                                                    "EquationToParse": " [Customer Retention] * DELAY([New customer orders],24,0)",
                                                    "MostRecentExpectedUnitErrors": null,
                                                    "Units": {
                                                      "$id": "10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5",
                                                  "$type": "ModelMaker.ReportLine, ModelMaker",
                                                  "ActualsItemName": null,
                                                  "ActualsInput": null,
                                                  "AssociatedSchematicNode": {
                                                    "$id": "106",
                                                    "$type": "ModelMaker.StockNode, ModelMaker",
                                                    "OpeningOrActualsName": "",
                                                    "InFlows": {
                                                      "$type": "System.Collections.Generic.List`1[[ModelMakerEngine.IEquationNode, ModelMakerEngine]], mscorlib",
                                                      "$values": [
                                                        {
                                                          "$ref": "100"
                                                        },
                                                        {
                                                          "$ref": "103"
                                                        }
                                                      ]
                                                    },
                                                    "OutFlows": {
                                                      "$type": "System.Collections.Generic.List`1[[ModelMakerEngine.IEquationNode, ModelMakerEngine]], mscorlib",
                                                      "$values": [
                                                        {
                                                          "$id": "107",
                                                          "$type": "ModelMaker.VariableNode, ModelMaker",
                                                          "RowTotalDependent": null,
                                                          "PutCalculationOnReport": false,
                                                          "CalculateOnThisReport": null,
                                                          "PivotTableLink": null,
                                                          "NumberFormatOverride": null,
                                                          "HasOpeningBalanceFlag": false,
                                                          "OpeningBalanceFlagAppliedName": "",
                                                          "ToolTip": "\n Is on Customers=IF(BEG([Units in stock]) >0, IF(BEG([Customer Orders Awaiting Fullfilment]) > BEG([Units in stock]), BEG([Units in stock]), BEG([Customer Orders Awaiting Fullfilment])),0) (Units)",
                                                          "Deletable": true,
                                                          "Comment": "",
                                                          "HasSwitchSignLine": false,
                                                          "SwitchSignForReport": false,
                                                          "MultipleInputValues": null,
                                                          "NonPrimaryInput": false,
                                                          "Max": "NaN",
                                                          "Min": "NaN",
                                                          "IsBalanceButNotCorkscrew": false,
                                                          "IsEditable": true,
                                                          "IsConstant": false,
                                                          "UniqueID": "9ed7c14f-7310-436f-88f9-33eba527a66f",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"108",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 orders] + [Renewing Customer Orders] - [Customer orders fullfilled]) ",
                                                    "InitialOpeningVariable": null,
                                                    "Units": {
                                                      "$id": "109",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Customers=IF([Period number]=0,[Opening Customer Orders Awaiting Fullfilment],BEG() + [New customer orders] + [Renewing Customer Orders] - [Customer orders fullfilled])  (Units)",
                                                    "Deletable": true,
                                                    "Comment": "",
                                                    "HasSwitchSignLine": false,
                                                    "SwitchSignForReport": false,
                                                    "MultipleInputValues": null,
                                                    "NonPrimaryInput": false,
                                                    "Max": "NaN",
                                                    "Min": "NaN",
                                                    "IsBalanceButNotCorkscrew": false,
                                                    "IsEditable": true,
                                                    "IsConstant": false,
                                                    "UniqueID": "803abcc5-e6db-4a0b-aeb9-28d5b4f8010f",
                                                    "Dimensions": {
                                                      "$type": "ModelMakerEngine.MMDimensions, ModelMakerEngine",
                                                      "$values": []
                                                    },
                                                    "NameOfGroup": "Customers",
                                                    "EquationToParse": "IF([Period number]=0,[Opening Customer Orders Awaiting Fullfilment],BEG() + [New customer orders] + [Renewing Customer Orders] - [Customer orders fullfilled]) ",
                                                    "MostRecentExpectedUnitErrors": null,
                                                    "ReportLines": {
                                                      "$type": "ModelMaker.UndoableCollection`1[[ModelMakerEngine.IReportLine, ModelMakerEngine]], ModelMaker.Undo",
                                                      "$values": [
                                                        {
                                                          "$ref": "105"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"97"
                                                },
                                                {
                                                  "$id": "110",
                                                  "$type": "ModelMaker.ReportLine, ModelMaker",
                                                  "ActualsItemName": null,
                                                  "ActualsInput": null,
                                                  "AssociatedSchematicNode": {
                                                    "$id": "111",
                                                    "$type": "ModelMaker.StockNode, ModelMaker",
                                                    "OpeningOrActualsName": "",
                                                    "InFlows": {
                                                      "$type": "System.Collections.Generic.List`1[[ModelMakerEngine.IEquationNode, ModelMakerEngine]], mscorlib",
                                                      "$values": [
                                                        {
                                                          "$ref": "95"
                                                        }
                                                      ]
                                                    },
                                                    "OutFlows": {
                                                      "$type": "System.Collections.Generic.List`1[[ModelMakerEngine.IEquationNode, ModelMakerEngine]], mscorlib",
                                                      "$values": [
                                                        {
                                                          "$id": "112",
                                                          "$type": "ModelMaker.VariableNode, ModelMaker",
                                                          "RowTotalDependent": null,
                                                          "PutCalculationOnReport": false,
                                                          "CalculateOnThisReport": null,
                                                          "PivotTableLink": null,
                                                          "NumberFormatOverride": null,
                                                          "HasOpeningBalanceFlag": false,
                                                          "OpeningBalanceFlagAppliedName": "",
                                                          "ToolTip": "\n Is on Inventory=IF([Use short term forecast flag] =1, [STF Units delivered], DELAY([Units ordered], [Order lead time (months)],0)) (Units)",
                                                          "Deletable": true,
                                                          "Comment": "",
                                                          "HasSwitchSignLine": false,
                                                          "SwitchSignForReport": false,
                                                          "MultipleInputValues": null,
                                                          "NonPrimaryInput": false,
                                                          "Max": "NaN",
                                                          "Min": "NaN",
                                                          "IsBalanceButNotCorkscrew": false,
                                                          "IsEditable": true,
                                                          "IsConstant": false,
                                                          "UniqueID": "d59661d1-94bc-487f-bd44-87853f2e74d7",
                                                          "Dimensions": {
                                                            "$type": "ModelMakerEngine.MMDimensions, ModelMakerEngine",
                                                            "$values": []
                                                          },
                                                          "EquationOBXInternal": "IF([Use short term forecast flag] =1, [STF Units delivered], DELAY([Units ordered], [Order lead time (months)],0))",
                                                          "NameOfGroup": "Inventory",
                                                          "EquationToParse": "IF([Use short term forecast flag] =1, [STF Units delivered], DELAY([Units ordered], [Order lead time (months)],0))",
                                                          "MostRecentExpectedUnitErrors": {
                                                            "$type": "System.Collections.Generic.List`1[[System.String, mscorlib]], mscorlib",
                                                            "$values": [
                                                              "The TRUE part of the IF function measured in GBP but the FALSE part measured in Units"
                                                            ]
                                                          },
                                                          "Units": {
                                                            "$id": "113",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"114",
                                                                "$type": "ModelMaker.ReportLine, ModelMaker",
                                                                "ActualsItemName": null,
                                                                "ActualsInput": null,
                                                                "AssociatedSchematicNode": {
                                                                  "$ref": "112"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on order],BEG() + [Units ordered] - [Units delivered])  (Units)",
                                                    "Deletable": true,
                                                    "Comment": "",
                                                    "HasSwitchSignLine": false,
                                                    "SwitchSignForReport": false,
                                                    "MultipleInputValues": null,
                                                    "NonPrimaryInput": false,
                                                    "Max": "NaN",
                                                    "Min": "NaN",
                                                    "IsBalanceButNotCorkscrew": false,
                                                    "IsEditable": true,
                                                    "IsConstant": false,
                                                    "UniqueID": "b277da35-4fca-469c-8e83-fa6e46ca842e",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"110"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"114"
                                                },
                                                {
                                                  "$id": "116",
                                                  "$type": "ModelMaker.ReportLine, ModelMaker",
                                                  "ActualsItemName": null,
                                                  "ActualsInput": null,
                                                  "AssociatedSchematicNode": {
                                                    "$id": "117",
                                                    "$type": "ModelMaker.VariableNode, ModelMaker",
                                                    "RowTotalDependent": null,
                                                    "PutCalculationOnReport": false,
                                                    "CalculateOnThisReport": null,
                                                    "PivotTableLink": null,
                                                    "NumberFormatOverride": null,
                                                    "HasOpeningBalanceFlag": false,
                                                    "OpeningBalanceFlagAppliedName": "",
                                                    "ToolTip": "\n Is on Inventory=DELAY([New customer orders], [Contract Length],0) + DELAY([Renewing Customer Orders],[Contract Length],0) (Units)",
                                                    "Deletable": true,
                                                    "Comment": "",
                                                    "HasSwitchSignLine": false,
                                                    "SwitchSignForReport": false,
                                                    "MultipleInputValues": null,
                                                    "NonPrimaryInput": false,
                                                    "Max": "NaN",
                                                    "Min": "NaN",
                                                    "IsBalanceButNotCorkscrew": false,
                                                    "IsEditable": true,
                                                    "IsConstant": false,
                                                    "UniqueID": "f95f91af-1ffc-4634-976f-179c121b32d2",
                                                    "Dimensions": {
                                                      "$type": "ModelMakerEngine.MMDimensions, ModelMakerEngine",
                                                      "$values": []
                                                    },
                                                    "EquationOBXInternal": "DELAY([New customer orders], [Contract Length],0) + DELAY([Renewing Customer Orders],[Contract Length],0)",
                                                    "NameOfGroup": "Inventory",
                                                    "EquationToParse": "DELAY([New customer orders], [Contract Length],0) + DELAY([Renewing Customer Orders],[Contract Length],0)",
                                                    "MostRecentExpectedUnitErrors": null,
                                                    "Units": {
                                                      "$id": "118",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"119",
                                                  "$type": "ModelMaker.ReportLine, ModelMaker",
                                                  "ActualsItemName": null,
                                                  "ActualsInput": null,
                                                  "AssociatedSchematicNode": {
                                                    "$id": "120",
                                                    "$type": "ModelMaker.StockNode, ModelMaker",
                                                    "OpeningOrActualsName": "",
                                                    "InFlows": {
                                                      "$type": "System.Collections.Generic.List`1[[ModelMakerEngine.IEquationNode, ModelMakerEngine]], mscorlib",
                                                      "$values": [
                                                        {
                                                          "$ref": "112"
                                                        },
                                                        {
                                                          "$id": "121",
                                                          "$type": "ModelMaker.VariableNode, ModelMaker",
                                                          "RowTotalDependent": null,
                                                          "PutCalculationOnReport": false,
                                                          "CalculateOnThisReport": null,
                                                          "PivotTableLink": null,
                                                          "NumberFormatOverride": null,
                                                          "HasOpeningBalanceFlag": false,
                                                          "OpeningBalanceFlagAppliedName": "",
                                                          "ToolTip": "\n Is on Inventory= [Deployed units returned] (Units)",
                                                          "Deletable": true,
                                                          "Comment": "",
                                                          "HasSwitchSignLine": false,
                                                          "SwitchSignForReport": false,
                                                          "MultipleInputValues": null,
                                                          "NonPrimaryInput": false,
                                                          "Max": "NaN",
                                                          "Min": "NaN",
                                                          "IsBalanceButNotCorkscrew": false,
                                                          "IsEditable": true,
                                                          "IsConstant": false,
                                                          "UniqueID": "50596205-ddbf-4221-8f23-f6c1c4821b45",
                                                          "Dimensions": {
                                                            "$type": "ModelMakerEngine.MMDimensions, ModelMakerEngine",
                                                            "$values": []
                                                          },
                                                          "EquationOBXInternal": " [Deployed units returned]",
                                                          "NameOfGroup": "Inventory",
                                                          "EquationToParse": " [Deployed units returned]",
                                                          "MostRecentExpectedUnitErrors": null,
                                                          "Units": {
                                                            "$id": "122",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"123",
                                                                "$type": "ModelMaker.ReportLine, ModelMaker",
                                                                "ActualsItemName": null,
                                                                "ActualsInput": null,
                                                                "AssociatedSchematicNode": {
                                                                  "$ref": "121"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9,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"$id": "124",
                                                          "$type": "ModelMaker.VariableNode, ModelMaker",
                                                          "RowTotalDependent": null,
                                                          "PutCalculationOnReport": false,
                                                          "CalculateOnThisReport": null,
                                                          "PivotTableLink": null,
                                                          "NumberFormatOverride": null,
                                                          "HasOpeningBalanceFlag": false,
                                                          "OpeningBalanceFlagAppliedName": "",
                                                          "ToolTip": "\n Is on Inventory=[Customer orders fullfilled] (Units)",
                                                          "Deletable": true,
                                                          "Comment": "",
                                                          "HasSwitchSignLine": false,
                                                          "SwitchSignForReport": false,
                                                          "MultipleInputValues": null,
                                                          "NonPrimaryInput": false,
                                                          "Max": "NaN",
                                                          "Min": "NaN",
                                                          "IsBalanceButNotCorkscrew": false,
                                                          "IsEditable": true,
                                                          "IsConstant": false,
                                                          "UniqueID": "4938284f-50d5-47fe-9e8d-4928f5c82e02",
                                                          "Dimensions": {
                                                            "$type": "ModelMakerEngine.MMDimensions, ModelMakerEngine",
                                                            "$values": []
                                                          },
                                                          "EquationOBXInternal": "[Customer orders fullfilled]",
                                                          "NameOfGroup": "Inventory",
                                                          "EquationToParse": "[Customer orders fullfilled]",
                                                          "MostRecentExpectedUnitErrors": null,
                                                          "Units": {
                                                            "$id": "125",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"126",
                                                                "$type": "ModelMaker.ReportLine, ModelMaker",
                                                                "ActualsItemName": null,
                                                                "ActualsInput": null,
                                                                "AssociatedSchematicNode": {
                                                                  "$ref": "124"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"117"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stock],BEG() + [Units delivered] - [Units deployed] + [Deployed units returned] - [Units retired])  (Units)",
                                                    "Deletable": true,
                                                    "Comment": "",
                                                    "HasSwitchSignLine": false,
                                                    "SwitchSignForReport": false,
                                                    "MultipleInputValues": null,
                                                    "NonPrimaryInput": false,
                                                    "Max": "NaN",
                                                    "Min": "NaN",
                                                    "IsBalanceButNotCorkscrew": false,
                                                    "IsEditable": true,
                                                    "IsConstant": false,
                                                    "UniqueID": "d09c1241-6f26-4fbd-9157-3c49b81f17b2",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"126"
                                                },
                                                {
                                                  "$id": "128",
                                                  "$type": "ModelMaker.ReportLine, ModelMaker",
                                                  "ActualsItemName": null,
                                                  "ActualsInput": null,
                                                  "AssociatedSchematicNode": {
                                                    "$id": "129",
                                                    "$type": "ModelMaker.StockNode, ModelMaker",
                                                    "OpeningOrActualsName": "",
                                                    "InFlows": {
                                                      "$type": "System.Collections.Generic.List`1[[ModelMakerEngine.IEquationNode, ModelMakerEngine]], mscorlib",
                                                      "$values": [
                                                        {
                                                          "$ref": "124"
                                                        }
                                                      ]
                                                    },
                                                    "OutFlows": {
                                                      "$type": "System.Collections.Generic.List`1[[ModelMakerEngine.IEquationNode, ModelMakerEngine]], mscorlib",
                                                      "$values": [
                                                        {
                                                          "$ref": "117"
                                                        }
                                                      ]
                                                    },
                                                    "FlagApplied": null,
                                                    "ActualsFlag": null,
                                                    "Name": "Units in use",
                                                    "HasDefaultEquation": false,
                                                    "NonStandardBalanceFormula": false,
                                                    "EquationOBXInternal": "IF([Period number]=0,[Opening Units in use],BEG()+[Units deployed] - [Deployed units returned]) ",
                                                    "InitialOpeningVariable": null,
                                                    "Units": {
                                                      "$id": "130",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use],BEG()+[Units deployed] - [Deployed units returned])  (Units)",
                                                    "Deletable": true,
                                                    "Comment": "",
                                                    "HasSwitchSignLine": false,
                                                    "SwitchSignForReport": false,
                                                    "MultipleInputValues": null,
                                                    "NonPrimaryInput": false,
                                                    "Max": "NaN",
                                                    "Min": "NaN",
                                                    "IsBalanceButNotCorkscrew": false,
                                                    "IsEditable": true,
                                                    "IsConstant": false,
                                                    "UniqueID": "ddfce470-2b5e-452e-8f2a-9794ebc80ff7",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"128"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"123"
                                                },
                                                {
                                                  "$id": "131",
                                                  "$type": "ModelMaker.ReportLine, ModelMaker",
                                                  "ActualsItemName": null,
                                                  "ActualsInput": null,
                                                  "AssociatedSchematicNode": {
                                                    "$id": "132",
                                                    "$type": "ModelMaker.StockNode, ModelMaker",
                                                    "OpeningOrActualsName": "",
                                                    "InFlows": {
                                                      "$type": "System.Collections.Generic.List`1[[ModelMakerEngine.IEquationNode, ModelMakerEngine]], mscorlib",
                                                      "$values": [
                                                        {
                                                          "$ref": "121"
                                                        }
                                                      ]
                                                    },
                                                    "OutFlows": {
                                                      "$type": "System.Collections.Generic.List`1[[ModelMakerEngine.IEquationNode, ModelMakerEngine]], mscorlib",
                                                      "$values": []
                                                    },
                                                    "FlagApplied": null,
                                                    "ActualsFlag": null,
                                                    "Name": "Total Units retired",
                                                    "HasDefaultEquation": false,
                                                    "NonStandardBalanceFormula": false,
                                                    "EquationOBXInternal": "IF([Period number]=0,[Opening Total Units retired],BEG() + [Units retired] )   ",
                                                    "InitialOpeningVariable": null,
                                                    "Units": {
                                                      "$id": "133",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Total Units retired],BEG() + [Units retired] )    (Units)",
                                                    "Deletable": true,
                                                    "Comment": "",
                                                    "HasSwitchSignLine": false,
                                                    "SwitchSignForReport": false,
                                                    "MultipleInputValues": null,
                                                    "NonPrimaryInput": false,
                                                    "Max": "NaN",
                                                    "Min": "NaN",
                                                    "IsBalanceButNotCorkscrew": false,
                                                    "IsEditable": true,
                                                    "IsConstant": false,
                                                    "UniqueID": "97e6c80c-7ed8-4e53-9a66-87b68153bed4",
                                                    "Dimensions": {
                                                      "$type": "ModelMakerEngine.MMDimensions, ModelMakerEngine",
                                                      "$values": []
                                                    },
                                                    "NameOfGroup": "Inventory",
                                                    "EquationToParse": "IF([Period number]=0,[Opening Total Units retired],BEG() + [Units retired] )   ",
                                                    "MostRecentExpectedUnitErrors": null,
                                                    "ReportLines": {
                                                      "$type": "ModelMaker.UndoableCollection`1[[ModelMakerEngine.IReportLine, ModelMakerEngine]], ModelMaker.Undo",
                                                      "$values": [
                                                        {
                                                          "$ref": "131"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"98"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"Inventory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"121"
                                  }
                                ]
                              },
                              "FlagApplied": null,
                              "ActualsFlag": null,
                              "Name": "Inventory",
                              "HasDefaultEquation": false,
                              "NonStandardBalanceFormula": true,
                              "EquationOBXInternal": "IF([Period number]=0,[Opening Inventory],BEG() + (([Units ordered] - [Units retired] ) * [Supplier price per unit]))",
                              "InitialOpeningVariable": null,
                              "Units": {
                                "$id": "134",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Inventory],BEG() + (([Units ordered] - [Units retired] ) * [Supplier price per unit])) (GBP)",
                              "Deletable": true,
                              "Comment": "",
                              "HasSwitchSignLine": false,
                              "SwitchSignForReport": false,
                              "MultipleInputValues": null,
                              "NonPrimaryInput": false,
                              "Max": "NaN",
                              "Min": "NaN",
                              "IsBalanceButNotCorkscrew": false,
                              "IsEditable": true,
                              "IsConstant": false,
                              "UniqueID": "be473170-b361-4558-845d-461fa7748065",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"135",
                            "$type": "ModelMaker.ReportLine, ModelMaker",
                            "ActualsItemName": null,
                            "ActualsInput": null,
                            "AssociatedSchematicNode": {
                              "$id": "136",
                              "$type": "ModelMaker.StockNode, ModelMaker",
                              "OpeningOrActualsName": "",
                              "InFlows": {
                                "$type": "System.Collections.Generic.List`1[[ModelMakerEngine.IEquationNode, ModelMakerEngine]], mscorlib",
                                "$values": [
                                  {
                                    "$ref": "2"
                                  }
                                ]
                              },
                              "OutFlows": {
                                "$type": "System.Collections.Generic.List`1[[ModelMakerEngine.IEquationNode, ModelMakerEngine]], mscorlib",
                                "$values": [
                                  {
                                    "$ref": "121"
                                  }
                                ]
                              },
                              "FlagApplied": null,
                              "ActualsFlag": null,
                              "Name": "Depreciation",
                              "HasDefaultEquation": false,
                              "NonStandardBalanceFormula": true,
                              "EquationOBXInternal": "IF([Period number]=0,[Opening Depreciation], BEG() + [Depreciation this period] - ([Units retired]*[Supplier price per unit])) ",
                              "InitialOpeningVariable": null,
                              "Units": {
                                "$id": "137",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Depreciation], BEG() + [Depreciation this period] - ([Units retired]*[Supplier price per unit]))  (GBP)",
                              "Deletable": true,
                              "Comment": "",
                              "HasSwitchSignLine": true,
                              "SwitchSignForReport": true,
                              "MultipleInputValues": null,
                              "NonPrimaryInput": false,
                              "Max": "NaN",
                              "Min": "NaN",
                              "IsBalanceButNotCorkscrew": false,
                              "IsEditable": true,
                              "IsConstant": false,
                              "UniqueID": "b4102551-b5cd-4aeb-9642-8e072a2d9b31",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"135"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"92"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"138",
                            "$type": "ModelMaker.ReportLine, ModelMaker",
                            "ActualsItemName": null,
                            "ActualsInput": null,
                            "AssociatedSchematicNode": {
                              "$id": "139",
                              "$type": "ModelMaker.StockNode, ModelMaker",
                              "OpeningOrActualsName": "",
                              "InFlows": {
                                "$type": "System.Collections.Generic.List`1[[ModelMakerEngine.IEquationNode, ModelMakerEngine]], mscorlib",
                                "$values": [
                                  {
                                    "$id": "140",
                                    "$type": "ModelMaker.VariableNode, ModelMaker",
                                    "RowTotalDependent": null,
                                    "PutCalculationOnReport": false,
                                    "CalculateOnThisReport": null,
                                    "PivotTableLink": null,
                                    "NumberFormatOverride": null,
                                    "HasOpeningBalanceFlag": false,
                                    "OpeningBalanceFlagAppliedName": "",
                                    "ToolTip": "\n Is on Income=([Customer orders fullfilled] * [Invoice Term] * [Sales Price Unit]) + (DELAY([Customer orders fullfilled], [Invoice Term],0 ) * [Invoice Term] * [Sales Price Unit]) (GBP)",
                                    "Deletable": true,
                                    "Comment": "",
                                    "HasSwitchSignLine": false,
                                    "SwitchSignForReport": false,
                                    "MultipleInputValues": null,
                                    "NonPrimaryInput": false,
                                    "Max": "NaN",
                                    "Min": "NaN",
                                    "IsBalanceButNotCorkscrew": false,
                                    "IsEditable": true,
                                    "IsConstant": false,
                                    "UniqueID": "3935e42e-3a43-4aa1-a802-226af64607fc",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"142",
                                    "$type": "ModelMaker.VariableNode, ModelMaker",
                                    "RowTotalDependent": null,
                                    "PutCalculationOnReport": false,
                                    "CalculateOnThisReport": null,
                                    "PivotTableLink": null,
                                    "NumberFormatOverride": null,
                                    "HasOpeningBalanceFlag": false,
                                    "OpeningBalanceFlagAppliedName": "",
                                    "ToolTip": "\n Is on VAT= [New Deferred Income from customer orders] * [VAT rate] (GBP)",
                                    "Deletable": true,
                                    "Comment": "",
                                    "HasSwitchSignLine": false,
                                    "SwitchSignForReport": false,
                                    "MultipleInputValues": null,
                                    "NonPrimaryInput": false,
                                    "Max": "NaN",
                                    "Min": "NaN",
                                    "IsBalanceButNotCorkscrew": false,
                                    "IsEditable": true,
                                    "IsConstant": false,
                                    "UniqueID": "7da5c8af-8567-4300-8d49-8e726098095e",
                                    "Dimensions": {
                                      "$type": "ModelMakerEngine.MMDimensions, ModelMakerEngine",
                                      "$values": []
                                    },
                                    "EquationOBXInternal": " [New Deferred Income from customer orders] * [VAT rate]",
                                    "NameOfGroup": "VAT",
                                    "EquationToParse": " [New Deferred Income from customer orders] * [VAT rate]",
                                    "MostRecentExpectedUnitErrors": null,
                                    "Units": {
                                      "$id": "143",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"41"
                                  }
                                ]
                              },
                              "FlagApplied": null,
                              "ActualsFlag": null,
                              "Name": "Debtors",
                              "HasDefaultEquation": false,
                              "NonStandardBalanceFormula": false,
                              "EquationOBXInternal": "IF([Period number]=0,[Opening Debtors],BEG()  + [New Deferred Income from customer orders] + [Output VAT]- [Cash in from Sales])  ",
                              "InitialOpeningVariable": null,
                              "Units": {
                                "$id": "144",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Debtors],BEG()  + [New Deferred Income from customer orders] + [Output VAT]- [Cash in from Sales])   (GBP)",
                              "Deletable": true,
                              "Comment": "",
                              "HasSwitchSignLine": false,
                              "SwitchSignForReport": false,
                              "MultipleInputValues": null,
                              "NonPrimaryInput": false,
                              "Max": "NaN",
                              "Min": "NaN",
                              "IsBalanceButNotCorkscrew": false,
                              "IsEditable": true,
                              "IsConstant": false,
                              "UniqueID": "97ede4a9-9f56-4c28-841a-c35a846fbb19",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"145",
                            "$type": "ModelMaker.ReportLine, ModelMaker",
                            "ActualsItemName": null,
                            "ActualsInput": null,
                            "AssociatedSchematicNode": {
                              "$id": "146",
                              "$type": "ModelMaker.StockNode, ModelMaker",
                              "OpeningOrActualsName": "",
                              "InFlows": {
                                "$type": "System.Collections.Generic.List`1[[ModelMakerEngine.IEquationNode, ModelMakerEngine]], mscorlib",
                                "$values": [
                                  {
                                    "$ref": "37"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"11"
                              },
                              "Visible": true,
                              "RowTotalDependent": null,
                              "PutCalculationOnReport": false,
                              "CalculateOnThisReport": null,
                              "PivotTableLink": null,
                              "NumberFormatOverride": null,
                              "ToolTip": "\n Is on Financials=IF([Period number]=0,[Opening Cash],BEG() + [Net Cashflow] )  (GBP)",
                              "Deletable": true,
                              "Comment": "",
                              "HasSwitchSignLine": false,
                              "SwitchSignForReport": false,
                              "MultipleInputValues": null,
                              "NonPrimaryInput": false,
                              "Max": "NaN",
                              "Min": "NaN",
                              "IsBalanceButNotCorkscrew": false,
                              "IsEditable": true,
                              "IsConstant": false,
                              "UniqueID": "d1448962-041d-47c2-a095-2304a068a99f",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"91"
                          },
                          {
                            "$id": "147",
                            "$type": "ModelMaker.ReportLine, ModelMaker",
                            "ActualsItemName": null,
                            "ActualsInput": null,
                            "AssociatedSchematicNode": {
                              "$id": "148",
                              "$type": "ModelMaker.StockNode, ModelMaker",
                              "OpeningOrActualsName": "",
                              "InFlows": {
                                "$type": "System.Collections.Generic.List`1[[ModelMakerEngine.IEquationNode, ModelMakerEngine]], mscorlib",
                                "$values": [
                                  {
                                    "$ref": "140"
                                  }
                                ]
                              },
                              "OutFlows": {
                                "$type": "System.Collections.Generic.List`1[[ModelMakerEngine.IEquationNode, ModelMakerEngine]], mscorlib",
                                "$values": [
                                  {
                                    "$ref": "7"
                                  }
                                ]
                              },
                              "FlagApplied": null,
                              "ActualsFlag": null,
                              "Name": "Deferred Income",
                              "HasDefaultEquation": false,
                              "NonStandardBalanceFormula": false,
                              "EquationOBXInternal": "IF([Period number]=0,[Opening Deferred Income],BEG()+ [New Deferred Income from customer orders] - [Income] )",
                              "InitialOpeningVariable": null,
                              "Units": {
                                "$id": "149",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Income=IF([Period number]=0,[Opening Deferred Income],BEG()+ [New Deferred Income from customer orders] - [Income] ) (GBP)",
                              "Deletable": true,
                              "Comment": "",
                              "HasSwitchSignLine": false,
                              "SwitchSignForReport": false,
                              "MultipleInputValues": null,
                              "NonPrimaryInput": false,
                              "Max": "NaN",
                              "Min": "NaN",
                              "IsBalanceButNotCorkscrew": false,
                              "IsEditable": true,
                              "IsConstant": false,
                              "UniqueID": "72b50e89-9146-43a4-b5e4-a7426cbbab67",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"147"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"150",
                            "$type": "ModelMaker.ReportLine, ModelMaker",
                            "ActualsItemName": null,
                            "ActualsInput": null,
                            "AssociatedSchematicNode": {
                              "$id": "151",
                              "$type": "ModelMaker.StockNode, ModelMaker",
                              "OpeningOrActualsName": "",
                              "InFlows": {
                                "$type": "System.Collections.Generic.List`1[[ModelMakerEngine.IEquationNode, ModelMakerEngine]], mscorlib",
                                "$values": [
                                  {
                                    "$id": "152",
                                    "$type": "ModelMaker.VariableNode, ModelMaker",
                                    "RowTotalDependent": null,
                                    "PutCalculationOnReport": false,
                                    "CalculateOnThisReport": null,
                                    "PivotTableLink": null,
                                    "NumberFormatOverride": null,
                                    "HasOpeningBalanceFlag": false,
                                    "OpeningBalanceFlagAppliedName": "",
                                    "ToolTip": "\n Is on Financials=[Units ordered]*[Supplier price per unit] (GBP)",
                                    "Deletable": true,
                                    "Comment": "",
                                    "HasSwitchSignLine": false,
                                    "SwitchSignForReport": false,
                                    "MultipleInputValues": null,
                                    "NonPrimaryInput": false,
                                    "Max": "NaN",
                                    "Min": "NaN",
                                    "IsBalanceButNotCorkscrew": false,
                                    "IsEditable": true,
                                    "IsConstant": false,
                                    "UniqueID": "15893ff4-6dc7-43d6-b127-11729c82a5b4",
                                    "Dimensions": {
                                      "$type": "ModelMakerEngine.MMDimensions, ModelMakerEngine",
                                      "$values": []
                                    },
                                    "EquationOBXInternal": "[Units ordered]*[Supplier price per unit]",
                                    "NameOfGroup": "Financials",
                                    "EquationToParse": "[Units ordered]*[Supplier price per unit]",
                                    "MostRecentExpectedUnitErrors": null,
                                    "Units": {
                                      "$id": "153",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"154",
                                    "$type": "ModelMaker.VariableNode, ModelMaker",
                                    "RowTotalDependent": null,
                                    "PutCalculationOnReport": false,
                                    "CalculateOnThisReport": null,
                                    "PivotTableLink": null,
                                    "NumberFormatOverride": null,
                                    "HasOpeningBalanceFlag": false,
                                    "OpeningBalanceFlagAppliedName": "",
                                    "ToolTip": "\n Is on Inventory=([Supplier Invoices] * [VAT rate]) (GBP)",
                                    "Deletable": true,
                                    "Comment": "",
                                    "HasSwitchSignLine": false,
                                    "SwitchSignForReport": false,
                                    "MultipleInputValues": null,
                                    "NonPrimaryInput": false,
                                    "Max": "NaN",
                                    "Min": "NaN",
                                    "IsBalanceButNotCorkscrew": false,
                                    "IsEditable": true,
                                    "IsConstant": false,
                                    "UniqueID": "c0f1457c-280a-4a27-bd43-127f02eb6d72",
                                    "Dimensions": {
                                      "$type": "ModelMakerEngine.MMDimensions, ModelMakerEngine",
                                      "$values": []
                                    },
                                    "EquationOBXInternal": "([Supplier Invoices] * [VAT rate])",
                                    "NameOfGroup": "Inventory",
                                    "EquationToParse": "([Supplier Invoices] * [VAT rate])",
                                    "MostRecentExpectedUnitErrors": null,
                                    "Units": {
                                      "$ref": "11"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"44"
                                  }
                                ]
                              },
                              "OutFlows": {
                                "$type": "System.Collections.Generic.List`1[[ModelMakerEngine.IEquationNode, ModelMakerEngine]], mscorlib",
                                "$values": [
                                  {
                                    "$ref": "55"
                                  },
                                  {
                                    "$ref": "13"
                                  },
                                  {
                                    "$ref": "10"
                                  },
                                  {
                                    "$id": "155",
                                    "$type": "ModelMaker.VariableNode, ModelMaker",
                                    "RowTotalDependent": null,
                                    "PutCalculationOnReport": false,
                                    "CalculateOnThisReport": null,
                                    "PivotTableLink": null,
                                    "NumberFormatOverride": null,
                                    "HasOpeningBalanceFlag": false,
                                    "OpeningBalanceFlagAppliedName": "",
                                    "ToolTip": "\n Is on Expense=[VAT rate] * [Percentage of expense subject to VAT] * ([Fixed operating expense] + [Variable Operating expense])  (GBP)",
                                    "Deletable": true,
                                    "Comment": "",
                                    "HasSwitchSignLine": false,
                                    "SwitchSignForReport": false,
                                    "MultipleInputValues": null,
                                    "NonPrimaryInput": false,
                                    "Max": "NaN",
                                    "Min": "NaN",
                                    "IsBalanceButNotCorkscrew": false,
                                    "IsEditable": true,
                                    "IsConstant": false,
                                    "UniqueID": "465a4496-cd93-4fd2-94b3-556a21e77b1c",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"11"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Creditors],BEG() + [Supplier Invoices] + [VAT on inventory] - [Cash out on Inventory] + [Fixed operating expense] + [Variable Operating expense] + [VAT on operating expense] - [Cash out on Operating Expense]   )  (GBP)",
                              "Deletable": true,
                              "Comment": "",
                              "HasSwitchSignLine": false,
                              "SwitchSignForReport": false,
                              "MultipleInputValues": null,
                              "NonPrimaryInput": false,
                              "Max": "NaN",
                              "Min": "NaN",
                              "IsBalanceButNotCorkscrew": false,
                              "IsEditable": true,
                              "IsConstant": false,
                              "UniqueID": "07a169b5-5276-4361-9b9d-c7ac80adf3ab",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"150"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"157",
                            "$type": "ModelMaker.ReportLine, ModelMaker",
                            "ActualsItemName": null,
                            "ActualsInput": null,
                            "AssociatedSchematicNode": {
                              "$id": "158",
                              "$type": "ModelMaker.StockNode, ModelMaker",
                              "OpeningOrActualsName": "",
                              "InFlows": {
                                "$type": "System.Collections.Generic.List`1[[ModelMakerEngine.IEquationNode, ModelMakerEngine]], mscorlib",
                                "$values": [
                                  {
                                    "$ref": "60"
                                  },
                                  {
                                    "$id": "159",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interest]-[Supply Chain Finance interest paid] (GBP)",
                                    "Deletable": true,
                                    "Comment": "",
                                    "HasSwitchSignLine": false,
                                    "SwitchSignForReport": false,
                                    "MultipleInputValues": null,
                                    "NonPrimaryInput": false,
                                    "Max": "NaN",
                                    "Min": "NaN",
                                    "IsBalanceButNotCorkscrew": false,
                                    "IsEditable": true,
                                    "IsConstant": false,
                                    "UniqueID": "7de9f790-d121-4bb5-893b-7b4b48be8fa3",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"160",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"63"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Supply Chain finance=IF([Period number]=0,[Opening Supply Chain Finance balance],BEG()+[Supply Chain Finance drawdown]+[Supply Chain Finance unpaid interest]-[Supply Chain Finance principal repayment]) (GBP)",
                              "Deletable": true,
                              "Comment": "",
                              "HasSwitchSignLine": false,
                              "SwitchSignForReport": false,
                              "MultipleInputValues": null,
                              "NonPrimaryInput": false,
                              "Max": "NaN",
                              "Min": "NaN",
                              "IsBalanceButNotCorkscrew": false,
                              "IsEditable": true,
                              "IsConstant": false,
                              "UniqueID": "7263c804-0bca-42be-866a-ef7c26f15f26",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"157"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"162",
                            "$type": "ModelMaker.ReportLine, ModelMaker",
                            "ActualsItemName": null,
                            "ActualsInput": null,
                            "AssociatedSchematicNode": {
                              "$id": "163",
                              "$type": "ModelMaker.StockNode, ModelMaker",
                              "OpeningOrActualsName": "",
                              "InFlows": {
                                "$type": "System.Collections.Generic.List`1[[ModelMakerEngine.IEquationNode, ModelMakerEngine]], mscorlib",
                                "$values": [
                                  {
                                    "$ref": "66"
                                  },
                                  {
                                    "$id": "164",
                                    "$type": "ModelMaker.VariableNode, ModelMaker",
                                    "RowTotalDependent": null,
                                    "PutCalculationOnReport": false,
                                    "CalculateOnThisReport": null,
                                    "PivotTableLink": null,
                                    "NumberFormatOverride": null,
                                    "HasOpeningBalanceFlag": false,
                                    "OpeningBalanceFlagAppliedName": "",
                                    "ToolTip": "\n Is on Invoice finance=[Invoice finance interest]-[Invoice finance interest paid] (GBP)",
                                    "Deletable": true,
                                    "Comment": "",
                                    "HasSwitchSignLine": false,
                                    "SwitchSignForReport": false,
                                    "MultipleInputValues": null,
                                    "NonPrimaryInput": false,
                                    "Max": "NaN",
                                    "Min": "NaN",
                                    "IsBalanceButNotCorkscrew": false,
                                    "IsEditable": true,
                                    "IsConstant": false,
                                    "UniqueID": "c0d2cd7a-6779-4e11-a12e-8decf4788d69",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"69"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"166",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Invoice finance= IF([Period number]=0,[Opening Invoice finance balance],BEG()+[Invoice finance drawdown]+[Invoice finance unpaid interest]-[Invoice finance principal repayment]) (GBP)",
                              "Deletable": true,
                              "Comment": "",
                              "HasSwitchSignLine": false,
                              "SwitchSignForReport": false,
                              "MultipleInputValues": null,
                              "NonPrimaryInput": false,
                              "Max": "NaN",
                              "Min": "NaN",
                              "IsBalanceButNotCorkscrew": false,
                              "IsEditable": true,
                              "IsConstant": false,
                              "UniqueID": "7b012bfa-9987-419e-a097-570a4ac4f423",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"162"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"167",
                            "$type": "ModelMaker.ReportLine, ModelMaker",
                            "ActualsItemName": null,
                            "ActualsInput": null,
                            "AssociatedSchematicNode": {
                              "$id": "168",
                              "$type": "ModelMaker.StockNode, ModelMaker",
                              "OpeningOrActualsName": "",
                              "InFlows": {
                                "$type": "System.Collections.Generic.List`1[[ModelMakerEngine.IEquationNode, ModelMakerEngine]], mscorlib",
                                "$values": [
                                  {
                                    "$ref": "72"
                                  },
                                  {
                                    "$id": "169",
                                    "$type": "ModelMaker.VariableNode, ModelMaker",
                                    "RowTotalDependent": null,
                                    "PutCalculationOnReport": false,
                                    "CalculateOnThisReport": null,
                                    "PivotTableLink": null,
                                    "NumberFormatOverride": null,
                                    "HasOpeningBalanceFlag": false,
                                    "OpeningBalanceFlagAppliedName": "",
                                    "ToolTip": "\n Is on Asset Finance=[Asset Finance interest]-[Asset Finance interest paid] (GBP)",
                                    "Deletable": true,
                                    "Comment": "",
                                    "HasSwitchSignLine": false,
                                    "SwitchSignForReport": false,
                                    "MultipleInputValues": null,
                                    "NonPrimaryInput": false,
                                    "Max": "NaN",
                                    "Min": "NaN",
                                    "IsBalanceButNotCorkscrew": false,
                                    "IsEditable": true,
                                    "IsConstant": false,
                                    "UniqueID": "31402652-7670-494e-aebc-131e94f1d933",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"75"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"171",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 Finance=IF([Period number]=0,[Opening Asset Finance balance],BEG()+[Asset Finance drawdown]+[Asset Finance unpaid interest]-[Asset Finance principal repayment]) (GBP)",
                              "Deletable": true,
                              "Comment": "",
                              "HasSwitchSignLine": false,
                              "SwitchSignForReport": false,
                              "MultipleInputValues": null,
                              "NonPrimaryInput": false,
                              "Max": "NaN",
                              "Min": "NaN",
                              "IsBalanceButNotCorkscrew": false,
                              "IsEditable": true,
                              "IsConstant": false,
                              "UniqueID": "8ea02551-d75b-4782-aa25-f72264607c50",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"167"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"172",
                            "$type": "ModelMaker.ReportLine, ModelMaker",
                            "ActualsItemName": null,
                            "ActualsInput": null,
                            "AssociatedSchematicNode": {
                              "$id": "173",
                              "$type": "ModelMaker.StockNode, ModelMaker",
                              "OpeningOrActualsName": "",
                              "InFlows": {
                                "$type": "System.Collections.Generic.List`1[[ModelMakerEngine.IEquationNode, ModelMakerEngine]], mscorlib",
                                "$values": [
                                  {
                                    "$id": "174",
                                    "$type": "ModelMaker.VariableNode, ModelMaker",
                                    "RowTotalDependent": null,
                                    "PutCalculationOnReport": false,
                                    "CalculateOnThisReport": null,
                                    "PivotTableLink": null,
                                    "NumberFormatOverride": null,
                                    "HasOpeningBalanceFlag": false,
                                    "OpeningBalanceFlagAppliedName": "",
                                    "ToolTip": "\n Is on VAT=[Output VAT] - [Input VAT] (GBP)",
                                    "Deletable": true,
                                    "Comment": "",
                                    "HasSwitchSignLine": false,
                                    "SwitchSignForReport": false,
                                    "MultipleInputValues": null,
                                    "NonPrimaryInput": false,
                                    "Max": "NaN",
                                    "Min": "NaN",
                                    "IsBalanceButNotCorkscrew": false,
                                    "IsEditable": true,
                                    "IsConstant": false,
                                    "UniqueID": "a0d4529e-375c-49fa-adcb-63c2c9be89c9",
                                    "Dimensions": {
                                      "$type": "ModelMakerEngine.MMDimensions, ModelMakerEngine",
                                      "$values": []
                                    },
                                    "EquationOBXInternal": "[Output VAT] - [Input VAT]",
                                    "NameOfGroup": "VAT",
                                    "EquationToParse": "[Output VAT] - [Input VAT]",
                                    "MostRecentExpectedUnitErrors":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"46"
                                  }
                                ]
                              },
                              "FlagApplied": null,
                              "ActualsFlag": null,
                              "Name": "VAT balance",
                              "HasDefaultEquation": false,
                              "NonStandardBalanceFormula": false,
                              "EquationOBXInternal": "IF([Period number]=0,[Opening VAT balance],BEG()+[VAT due]-[VAT paid] )",
                              "InitialOpeningVariable": null,
                              "Units": {
                                "$id": "176",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VAT=IF([Period number]=0,[Opening VAT balance],BEG()+[VAT due]-[VAT paid] ) (GBP)",
                              "Deletable": true,
                              "Comment": "",
                              "HasSwitchSignLine": false,
                              "SwitchSignForReport": false,
                              "MultipleInputValues": null,
                              "NonPrimaryInput": false,
                              "Max": "NaN",
                              "Min": "NaN",
                              "IsBalanceButNotCorkscrew": false,
                              "IsEditable": true,
                              "IsConstant": false,
                              "UniqueID": "67c4ba78-e413-41ac-9cf7-0d544a5d4d9f",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"172"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"177",
                            "$type": "ModelMaker.ReportLine, ModelMaker",
                            "ActualsItemName": null,
                            "ActualsInput": null,
                            "AssociatedSchematicNode": {
                              "$id": "178",
                              "$type": "ModelMaker.StockNode, ModelMaker",
                              "OpeningOrActualsName": "",
                              "InFlows": {
                                "$type": "System.Collections.Generic.List`1[[ModelMakerEngine.IEquationNode, ModelMakerEngine]], mscorlib",
                                "$values": [
                                  {
                                    "$ref": "31"
                                  }
                                ]
                              },
                              "OutFlows": {
                                "$type": "System.Collections.Generic.List`1[[ModelMakerEngine.IEquationNode, ModelMakerEngine]], mscorlib",
                                "$values": [
                                  {
                                    "$ref": "49"
                                  }
                                ]
                              },
                              "FlagApplied": null,
                              "ActualsFlag": null,
                              "Name": "Corporation tax creditor",
                              "HasDefaultEquation": false,
                              "NonStandardBalanceFormula": false,
                              "EquationOBXInternal": "IF([Period number]=0,[Opening Corporation tax creditor],BEG() + [Corporation tax] - [Corporation tax paid] )",
                              "InitialOpeningVariable": null,
                              "Units": {
                                "$id": "179",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tax.Corporation tax creditor=IF([Period number]=0,[Opening Corporation tax creditor],BEG() + [Corporation tax] - [Corporation tax paid] ) (GBP)",
                              "Deletable": true,
                              "Comment": "",
                              "HasSwitchSignLine": false,
                              "SwitchSignForReport": false,
                              "MultipleInputValues": null,
                              "NonPrimaryInput": false,
                              "Max": "NaN",
                              "Min": "NaN",
                              "IsBalanceButNotCorkscrew": false,
                              "IsEditable": true,
                              "IsConstant": false,
                              "UniqueID": "b4cd08c5-d54d-459f-955c-dd8f8dc471f5",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"177"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"180",
                            "$type": "ModelMaker.ReportLine, ModelMaker",
                            "ActualsItemName": null,
                            "ActualsInput": null,
                            "AssociatedSchematicNode": {
                              "$id": "181",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"05942c0c-225a-4418-956a-3d2852b4b307",
                              "Dimensions": {
                                "$type": "ModelMakerEngine.MMDimensions, ModelMakerEngine",
                                "$values": []
                              },
                              "EquationOBXInternal": "",
                              "NameOfGroup": "Unallocated",
                              "EquationToParse": "",
                              "MostRecentExpectedUnitErrors": null,
                              "Units": {
                                "$ref": "11"
                              },
                              "Name": "Liabilities",
                              "ReportLines": {
                                "$type": "ModelMaker.UndoableCollection`1[[ModelMakerEngine.IReportLine, ModelMakerEngine]], ModelMaker.Undo",
                                "$values": [
                                  {
                                    "$ref": "180"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"182",
                            "$type": "ModelMaker.ReportLine, ModelMaker",
                            "ActualsItemName": null,
                            "ActualsInput": null,
                            "AssociatedSchematicNode": {
                              "$id": "183",
                              "$type": "ModelMaker.VariableNode, ModelMaker",
                              "RowTotalDependent": null,
                              "PutCalculationOnReport": false,
                              "CalculateOnThisReport": null,
                              "PivotTableLink": null,
                              "NumberFormatOverride": null,
                              "HasOpeningBalanceFlag": false,
                              "OpeningBalanceFlagAppliedName": "",
                              "ToolTip": "\n Is on Financials=[Assets]-[Liabilities] (GBP)",
                              "Deletable": true,
                              "Comment": "",
                              "HasSwitchSignLine": false,
                              "SwitchSignForReport": false,
                              "MultipleInputValues": null,
                              "NonPrimaryInput": false,
                              "Max": "NaN",
                              "Min": "NaN",
                              "IsBalanceButNotCorkscrew": false,
                              "IsEditable": true,
                              "IsConstant": false,
                              "UniqueID": "533315c7-f6a5-437e-b4f4-d2dab92bf96b",
                              "Dimensions": {
                                "$type": "ModelMakerEngine.MMDimensions, ModelMakerEngine",
                                "$values": []
                              },
                              "EquationOBXInternal": "[Assets]-[Liabilities]",
                              "NameOfGroup": "Financials",
                              "EquationToParse": "[Assets]-[Liabilities]",
                              "MostRecentExpectedUnitErrors": null,
                              "Units": {
                                "$id": "184",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"182"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"185",
                            "$type": "ModelMaker.ReportLine, ModelMaker",
                            "ActualsItemName": null,
                            "ActualsInput": null,
                            "AssociatedSchematicNode": {
                              "$id": "186",
                              "$type": "ModelMaker.StockNode, ModelMaker",
                              "OpeningOrActualsName": "",
                              "InFlows": {
                                "$type": "System.Collections.Generic.List`1[[ModelMakerEngine.IEquationNode, ModelMakerEngine]], mscorlib",
                                "$values": [
                                  {
                                    "$ref": "35"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"11"
                              },
                              "Visible": true,
                              "RowTotalDependent": null,
                              "PutCalculationOnReport": false,
                              "CalculateOnThisReport": null,
                              "PivotTableLink": null,
                              "NumberFormatOverride": null,
                              "ToolTip": "\n Is on Financials=IF([Period number]=0,[Opening Retained Earnings],BEG() + [Retained Earnings this period] )  (GBP)",
                              "Deletable": true,
                              "Comment": "",
                              "HasSwitchSignLine": false,
                              "SwitchSignForReport": false,
                              "MultipleInputValues": null,
                              "NonPrimaryInput": false,
                              "Max": "NaN",
                              "Min": "NaN",
                              "IsBalanceButNotCorkscrew": false,
                              "IsEditable": true,
                              "IsConstant": false,
                              "UniqueID": "796b3126-dd06-454d-87a0-84a70141818a",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"187",
                            "$type": "ModelMaker.ReportLine, ModelMaker",
                            "ActualsItemName": null,
                            "ActualsInput": null,
                            "AssociatedSchematicNode": {
                              "$id": "188",
                              "$type": "ModelMaker.StockNode, ModelMaker",
                              "OpeningOrActualsName": "",
                              "InFlows": {
                                "$type": "System.Collections.Generic.List`1[[ModelMakerEngine.IEquationNode, ModelMakerEngine]], mscorlib",
                                "$values": [
                                  {
                                    "$ref": "89"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"11"
                              },
                              "Visible": true,
                              "RowTotalDependent": null,
                              "PutCalculationOnReport": false,
                              "CalculateOnThisReport": null,
                              "PivotTableLink": null,
                              "NumberFormatOverride": null,
                              "ToolTip": "\n Is on Equity=IF([Period number]=0,[Opening Share Capital],BEG() +[New share capital issued] )  (GBP)",
                              "Deletable": true,
                              "Comment": "",
                              "HasSwitchSignLine": false,
                              "SwitchSignForReport": false,
                              "MultipleInputValues": null,
                              "NonPrimaryInput": false,
                              "Max": "NaN",
                              "Min": "NaN",
                              "IsBalanceButNotCorkscrew": false,
                              "IsEditable": true,
                              "IsConstant": false,
                              "UniqueID": "574a2e52-1ebd-4c6d-89f3-1151b8c3172b",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"187"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"189",
                            "$type": "ModelMaker.ReportLine, ModelMaker",
                            "ActualsItemName": null,
                            "ActualsInput": null,
                            "AssociatedSchematicNode": {
                              "$id": "190",
                              "$type": "ModelMaker.VariableNode, ModelMaker",
                              "RowTotalDependent": null,
                              "PutCalculationOnReport": false,
                              "CalculateOnThisReport": null,
                              "PivotTableLink": null,
                              "NumberFormatOverride": null,
                              "HasOpeningBalanceFlag": false,
                              "OpeningBalanceFlagAppliedName": "",
                              "ToolTip": "\n Is on Financials=[Retained Earnings]+[Share Capital] (GBP)",
                              "Deletable": true,
                              "Comment": "",
                              "HasSwitchSignLine": false,
                              "SwitchSignForReport": false,
                              "MultipleInputValues": null,
                              "NonPrimaryInput": false,
                              "Max": "NaN",
                              "Min": "NaN",
                              "IsBalanceButNotCorkscrew": false,
                              "IsEditable": true,
                              "IsConstant": false,
                              "UniqueID": "30bede76-2191-4323-8e29-cb6fcf0fdd8e",
                              "Dimensions": {
                                "$type": "ModelMakerEngine.MMDimensions, ModelMakerEngine",
                                "$values": []
                              },
                              "EquationOBXInternal": "[Retained Earnings]+[Share Capital]",
                              "NameOfGroup": "Unallocated",
                              "EquationToParse": "[Retained Earnings]+[Share Capital]",
                              "MostRecentExpectedUnitErrors": null,
                              "Units": {
                                "$ref": "11"
                              },
                              "Name": "Shareholder Equity",
                              "ReportLines": {
                                "$type": "ModelMaker.UndoableCollection`1[[ModelMakerEngine.IReportLine, ModelMakerEngine]], ModelMaker.Undo",
                                "$values": [
                                  {
                                    "$ref": "189"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"92"
                            },
                            "HeadingLevel": 0,
                            "ReportFormatName": "ReportTotal",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"Balance Sheet",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"181"
            },
            {
              "$ref": "17"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"191",
        "$type": "ModelMaker.GroupNode, ModelMaker",
        "TabOrHeaderColour": "",
        "Comment": "",
        "NameOfGroup": null,
        "YPosition": 0,
        "Folded": false,
        "Font": null,
        "Children": {
          "$type": "ModelMaker.GroupNodeChildCollection, ModelMaker",
          "$values": [
            {
              "$id": "192",
              "$type": "ModelMaker.GroupNode, ModelMaker",
              "TabOrHeaderColour": "",
              "Comment": "",
              "NameOfGroup": "Inputs",
              "YPosition": 0,
              "Folded": true,
              "Font": null,
              "Children": {
                "$type": "ModelMaker.GroupNodeChildCollection, ModelMaker",
                "$values": [
                  {
                    "$id": "193",
                    "$type": "ModelMaker.VariableNode, ModelMaker",
                    "RowTotalDependent": null,
                    "PutCalculationOnReport": false,
                    "CalculateOnThisReport": null,
                    "PivotTableLink": null,
                    "NumberFormatOverride": null,
                    "HasOpeningBalanceFlag": false,
                    "OpeningBalanceFlagAppliedName": "",
                    "ToolTip": "\n Is on Inputs.Model Constants=12 ()",
                    "Deletable": true,
                    "Comment": "",
                    "HasSwitchSignLine": false,
                    "SwitchSignForReport": false,
                    "MultipleInputValues": null,
                    "NonPrimaryInput": false,
                    "Max": "NaN",
                    "Min": "NaN",
                    "IsBalanceButNotCorkscrew": false,
                    "IsEditable": true,
                    "IsConstant": true,
                    "UniqueID": "7a140a34-ac5a-4254-b802-c91832e524f9",
                    "Dimensions": {
                      "$type": "ModelMakerEngine.MMDimensions, ModelMakerEngine",
                      "$values": []
                    },
                    "EquationOBXInternal": "12",
                    "NameOfGroup": "Inputs.Model Constants",
                    "EquationToParse": "12",
                    "MostRecentExpectedUnitErrors": null,
                    "Units": {
                      "$id": "194",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"195",
                    "$type": "ModelMaker.VariableNode, ModelMaker",
                    "RowTotalDependent": null,
                    "PutCalculationOnReport": false,
                    "CalculateOnThisReport": null,
                    "PivotTableLink": null,
                    "NumberFormatOverride": null,
                    "HasOpeningBalanceFlag": false,
                    "OpeningBalanceFlagAppliedName": "",
                    "ToolTip": "\n Is on Inputs.Model Constants=1 (Months)",
                    "Deletable": false,
                    "Comment": "",
                    "HasSwitchSignLine": false,
                    "SwitchSignForReport": false,
                    "MultipleInputValues": null,
                    "NonPrimaryInput": false,
                    "Max": "NaN",
                    "Min": "NaN",
                    "IsBalanceButNotCorkscrew": false,
                    "IsEditable": true,
                    "IsConstant": true,
                    "UniqueID": "38bdbeb6-5cd1-43e6-9e4d-920feba630a6",
                    "Dimensions": {
                      "$type": "ModelMakerEngine.MMDimensions, ModelMakerEngine",
                      "$values": []
                    },
                    "EquationOBXInternal": "1",
                    "NameOfGroup": "Inputs.Model Constants",
                    "EquationToParse": "1",
                    "MostRecentExpectedUnitErrors": null,
                    "Units": {
                      "$id": "196",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"StandardDescription":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"197",
                    "$type": "ModelMaker.VariableNode, ModelMaker",
                    "RowTotalDependent": null,
                    "PutCalculationOnReport": false,
                    "CalculateOnThisReport": null,
                    "PivotTableLink": null,
                    "NumberFormatOverride": null,
                    "HasOpeningBalanceFlag": false,
                    "OpeningBalanceFlagAppliedName": "",
                    "ToolTip": "\n Is on Inputs.Model Constants=4 (Months)",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"8f408652-5455-41b3-bb0a-1cd2e43b51cd",
                    "Dimensions": {
                      "$type": "ModelMakerEngine.MMDimensions, ModelMakerEngine",
                      "$values": []
                    },
                    "EquationOBXInternal": "4",
                    "NameOfGroup": "Inputs.Model Constants",
                    "EquationToParse": "4",
                    "MostRecentExpectedUnitErrors": null,
                    "Units": {
                      "$id": "198",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"StandardDescription":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"199",
                    "$type": "ModelMaker.VariableNode, ModelMaker",
                    "RowTotalDependent": null,
                    "PutCalculationOnReport": false,
                    "CalculateOnThisReport": null,
                    "PivotTableLink": null,
                    "NumberFormatOverride": null,
                    "HasOpeningBalanceFlag": false,
                    "OpeningBalanceFlagAppliedName": "",
                    "ToolTip": "\n Is on Inputs.Model Constants01/05/2023",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"46363610-0ddd-4f46-9e36-2f29847ccfcb",
                    "Dimensions": {
                      "$type": "ModelMakerEngine.MMDimensions, ModelMakerEngine",
                      "$values": []
                    },
                    "EquationOBXInternal": "45047",
                    "NameOfGroup": "Inputs.Model Constants",
                    "EquationToParse": "45047",
                    "MostRecentExpectedUnitErrors": null,
                    "Units": {
                      "$id": "200",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"201",
              "$type": "ModelMaker.GroupNode, ModelMaker",
              "TabOrHeaderColour": "",
              "Comment": "",
              "NameOfGroup": "Inputs",
              "YPosition": 1,
              "Folded": false,
              "Font": null,
              "Children": {
                "$type": "ModelMaker.GroupNodeChildCollection, ModelMaker",
                "$values": [
                  {
                    "$id": "202",
                    "$type": "ModelMaker.VariableNode, ModelMaker",
                    "RowTotalDependent": null,
                    "PutCalculationOnReport": false,
                    "CalculateOnThisReport": null,
                    "PivotTableLink": null,
                    "NumberFormatOverride": null,
                    "HasOpeningBalanceFlag": false,
                    "OpeningBalanceFlagAppliedName": "",
                    "ToolTip": "\n Is on Inputs.Customer Orders=90% (%)",
                    "Deletable": true,
                    "Comment": "",
                    "HasSwitchSignLine": false,
                    "SwitchSignForReport": false,
                    "MultipleInputValues": null,
                    "NonPrimaryInput": false,
                    "Max": "NaN",
                    "Min": "NaN",
                    "IsBalanceButNotCorkscrew": false,
                    "IsEditable": true,
                    "IsConstant": true,
                    "UniqueID": "895c0406-37a0-4133-a457-cd113f9f325f",
                    "Dimensions": {
                      "$type": "ModelMakerEngine.MMDimensions, ModelMakerEngine",
                      "$values": []
                    },
                    "EquationOBXInternal": "90%",
                    "NameOfGroup": "Inputs.Customer Orders",
                    "EquationToParse": "90%",
                    "MostRecentExpectedUnitErrors": null,
                    "Units": {
                      "$id": "203",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"204",
                    "$type": "ModelMaker.VariableNode, ModelMaker",
                    "RowTotalDependent": null,
                    "PutCalculationOnReport": false,
                    "CalculateOnThisReport": null,
                    "PivotTableLink": null,
                    "NumberFormatOverride": null,
                    "HasOpeningBalanceFlag": false,
                    "OpeningBalanceFlagAppliedName": "",
                    "ToolTip": "\n Is on Inputs.Customer Orders={500,500,,,,,,} (Units)",
                    "Deletable": true,
                    "Comment": "",
                    "HasSwitchSignLine": false,
                    "SwitchSignForReport": false,
                    "MultipleInputValues": {
                      "$type": "System.Collections.Generic.List`1[[ModelMaker.DimensionedArrayValues, ModelMaker]], mscorlib",
                      "$values": [
                        {
                          "$id": "205",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"e6be4622-cad6-4289-abed-91a25b6b058b",
                    "Dimensions": {
                      "$type": "ModelMakerEngine.MMDimensions, ModelMakerEngine",
                      "$values": []
                    },
                    "EquationOBXInternal": "{500,500,,,,,,}",
                    "NameOfGroup": "Inputs.Customer Orders",
                    "EquationToParse": "{500,500,,,,,,}",
                    "MostRecentExpectedUnitErrors": null,
                    "Units": {
                      "$id": "206",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"207",
                    "$type": "ModelMaker.VariableNode, ModelMaker",
                    "RowTotalDependent": null,
                    "PutCalculationOnReport": false,
                    "CalculateOnThisReport": null,
                    "PivotTableLink": null,
                    "NumberFormatOverride": null,
                    "HasOpeningBalanceFlag": false,
                    "OpeningBalanceFlagAppliedName": "",
                    "ToolTip": "\n Is on Inputs.Customer Orders=100% (%)",
                    "Deletable": true,
                    "Comment": "",
                    "HasSwitchSignLine": false,
                    "SwitchSignForReport": false,
                    "MultipleInputValues": null,
                    "NonPrimaryInput": false,
                    "Max": "NaN",
                    "Min": "NaN",
                    "IsBalanceButNotCorkscrew": false,
                    "IsEditable": true,
                    "IsConstant": true,
                    "UniqueID": "8c1b150e-72ca-4e96-8c21-73e1b66998e4",
                    "Dimensions": {
                      "$type": "ModelMakerEngine.MMDimensions, ModelMakerEngine",
                      "$values": []
                    },
                    "EquationOBXInternal": "100%",
                    "NameOfGroup": "Time.Customer Order Growth index",
                    "EquationToParse": "100%",
                    "MostRecentExpectedUnitErrors": null,
                    "Units": {
                      "$id": "208",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"NumberFormatOverride": null,
                    "HasOpeningBalanceFlag": false,
                    "OpeningBalanceFlagAppliedName": "",
                    "ToolTip": "\n Is on Inputs.Customer Orders=1 ()",
                    "Deletable": true,
                    "Comment": "",
                    "HasSwitchSignLine": false,
                    "SwitchSignForReport": false,
                    "MultipleInputValues": null,
                    "NonPrimaryInput": false,
                    "Max": "NaN",
                    "Min": "NaN",
                    "IsBalanceButNotCorkscrew": false,
                    "IsEditable": true,
                    "IsConstant": true,
                    "UniqueID": "e8fd284b-04d0-4f92-a425-d0bd760828c6",
                    "Dimensions": {
                      "$type": "ModelMakerEngine.MMDimensions, ModelMakerEngine",
                      "$values": []
                    },
                    "EquationOBXInternal": "1",
                    "NameOfGroup": "Time.Customer Order Growth index",
                    "EquationToParse": "1",
                    "MostRecentExpectedUnitErrors": null,
                    "Units": {
                      "$id": "210",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"211",
                    "$type": "ModelMaker.VariableNode, ModelMaker",
                    "RowTotalDependent": null,
                    "PutCalculationOnReport": false,
                    "CalculateOnThisReport": null,
                    "PivotTableLink": null,
                    "NumberFormatOverride": null,
                    "HasOpeningBalanceFlag": false,
                    "OpeningBalanceFlagAppliedName": "",
                    "ToolTip": "\n Is on Inputs.Customer Orders={0,0,0,0,0,0,0,} (Units)",
                    "Deletable": true,
                    "Comment": "",
                    "HasSwitchSignLine": false,
                    "SwitchSignForReport": false,
                    "MultipleInputValues": {
                      "$type": "System.Collections.Generic.List`1[[ModelMaker.DimensionedArrayValues, ModelMaker]], mscorlib",
                      "$values": [
                        {
                          "$id": "212",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"a9445909-a5bb-4c51-9eb2-5d1ffea7cf83",
                    "Dimensions": {
                      "$type": "ModelMakerEngine.MMDimensions, ModelMakerEngine",
                      "$values": []
                    },
                    "EquationOBXInternal": "{0,0,0,0,0,0,0,}",
                    "NameOfGroup": "Inputs.Customer Orders",
                    "EquationToParse": "{0,0,0,0,0,0,0,}",
                    "MostRecentExpectedUnitErrors": null,
                    "Units": {
                      "$ref": "109"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"213",
                    "$type": "ModelMaker.VariableNode, ModelMaker",
                    "RowTotalDependent": null,
                    "PutCalculationOnReport": false,
                    "CalculateOnThisReport": null,
                    "PivotTableLink": null,
                    "NumberFormatOverride": null,
                    "HasOpeningBalanceFlag": false,
                    "OpeningBalanceFlagAppliedName": "",
                    "ToolTip": "\n Is on Inputs.Customer Orders={2,,,,,,,} (Months)",
                    "Deletable": true,
                    "Comment": "",
                    "HasSwitchSignLine": false,
                    "SwitchSignForReport": false,
                    "MultipleInputValues": {
                      "$type": "System.Collections.Generic.List`1[[ModelMaker.DimensionedArrayValues, ModelMaker]], mscorlib",
                      "$values": [
                        {
                          "$id": "214",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"f78108cd-dac8-4e72-9134-3e16823b76a5",
                    "Dimensions": {
                      "$type": "ModelMakerEngine.MMDimensions, ModelMakerEngine",
                      "$values": []
                    },
                    "EquationOBXInternal": "{2,,,,,,,}",
                    "NameOfGroup": "Inputs.Inventory",
                    "EquationToParse": "{2,,,,,,,}",
                    "MostRecentExpectedUnitErrors": null,
                    "Units": {
                      "$id": "215",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"216",
                    "$type": "ModelMaker.VariableNode, ModelMaker",
                    "RowTotalDependent": null,
                    "PutCalculationOnReport": false,
                    "CalculateOnThisReport": null,
                    "PivotTableLink": null,
                    "NumberFormatOverride": null,
                    "HasOpeningBalanceFlag": false,
                    "OpeningBalanceFlagAppliedName": "",
                    "ToolTip": "\n Is on Inputs.Customer Orders={12,,,,,,,} (GBP)",
                    "Deletable": true,
                    "Comment": "",
                    "HasSwitchSignLine": false,
                    "SwitchSignForReport": false,
                    "MultipleInputValues": {
                      "$type": "System.Collections.Generic.List`1[[ModelMaker.DimensionedArrayValues, ModelMaker]], mscorlib",
                      "$values": [
                        {
                          "$id": "217",
                          "$type": "ModelMaker.DimensionedArrayValues, ModelMaker",
                          "Elements": {
                            "$type": "ModelMakerEngine.MMElements, ModelMakerEngine",
                            "$values": []
                          },
                          "Values": {
                            "$type": "System.Collections.Generic.List`1[[System.Object, mscorlib]], mscorlib",
                            "$values": [
                              12.0,
                              null,
                              null,
                              null,
                              null,
                              null,
                              null,
                              null
                            ]
                          }
                        }
                      ]
                    },
                    "NonPrimaryInput": false,
                    "Max": "NaN",
                    "Min": "NaN",
                    "IsBalanceButNotCorkscrew": false,
                    "IsEditable": true,
                    "IsConstant": true,
                    "UniqueID": "82d29d06-e69a-4b22-8b7b-29b15be6b446",
                    "Dimensions": {
                      "$type": "ModelMakerEngine.MMDimensions, ModelMakerEngine",
                      "$values": []
                    },
                    "EquationOBXInternal": "{12,,,,,,,}",
                    "NameOfGroup": "Inputs.Customer Orders",
                    "EquationToParse": "{12,,,,,,,}",
                    "MostRecentExpectedUnitErrors": null,
                    "Units": {
                      "$ref": "11"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"218",
                    "$type": "ModelMaker.VariableNode, ModelMaker",
                    "RowTotalDependent": null,
                    "PutCalculationOnReport": false,
                    "CalculateOnThisReport": null,
                    "PivotTableLink": null,
                    "NumberFormatOverride": null,
                    "HasOpeningBalanceFlag": false,
                    "OpeningBalanceFlagAppliedName": "",
                    "ToolTip": "\n Is on Inputs.Customer Orders={24,,,,,,,} (Months)",
                    "Deletable": true,
                    "Comment": "",
                    "HasSwitchSignLine": false,
                    "SwitchSignForReport": false,
                    "MultipleInputValues": {
                      "$type": "System.Collections.Generic.List`1[[ModelMaker.DimensionedArrayValues, ModelMaker]], mscorlib",
                      "$values": [
                        {
                          "$id": "219",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"885377ba-a2f3-4fa1-a621-47f4ab861d1f",
                    "Dimensions": {
                      "$type": "ModelMakerEngine.MMDimensions, ModelMakerEngine",
                      "$values": []
                    },
                    "EquationOBXInternal": "{24,,,,,,,}",
                    "NameOfGroup": "Inputs.Customer Orders",
                    "EquationToParse": "{24,,,,,,,}",
                    "MostRecentExpectedUnitErrors": null,
                    "Units": {
                      "$id": "220",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"221",
                    "$type": "ModelMaker.VariableNode, ModelMaker",
                    "RowTotalDependent": null,
                    "PutCalculationOnReport": false,
                    "CalculateOnThisReport": null,
                    "PivotTableLink": null,
                    "NumberFormatOverride": null,
                    "HasOpeningBalanceFlag": false,
                    "OpeningBalanceFlagAppliedName": "",
                    "ToolTip": "\n Is on Inputs.Customer Orders=12 (Months)",
                    "Deletable": true,
                    "Comment": "",
                    "HasSwitchSignLine": false,
                    "SwitchSignForReport": false,
                    "MultipleInputValues": null,
                    "NonPrimaryInput": false,
                    "Max": "NaN",
                    "Min": "NaN",
                    "IsBalanceButNotCorkscrew": false,
                    "IsEditable": true,
                    "IsConstant": true,
                    "UniqueID": "b11b1be5-3551-409e-bfde-cf0ba3aa8740",
                    "Dimensions": {
                      "$type": "ModelMakerEngine.MMDimensions, ModelMakerEngine",
                      "$values": []
                    },
                    "EquationOBXInternal": "12",
                    "NameOfGroup": "Inputs.Customer Orders",
                    "EquationToParse": "12",
                    "MostRecentExpectedUnitErrors": null,
                    "Units": {
                      "$id": "222",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"223",
              "$type": "ModelMaker.GroupNode, ModelMaker",
              "TabOrHeaderColour": "",
              "Comment": "",
              "NameOfGroup": "Inputs",
              "YPosition": 2,
              "Folded": true,
              "Font": null,
              "Children": {
                "$type": "ModelMaker.GroupNodeChildCollection, ModelMaker",
                "$values": [
                  {
                    "$id": "224",
                    "$type": "ModelMaker.VariableNode, ModelMaker",
                    "RowTotalDependent": null,
                    "PutCalculationOnReport": false,
                    "CalculateOnThisReport": null,
                    "PivotTableLink": null,
                    "NumberFormatOverride": null,
                    "HasOpeningBalanceFlag": false,
                    "OpeningBalanceFlagAppliedName": "",
                    "ToolTip": "\n Is on Inputs.Expense={45000,25000,25000,25000,25000,25000,25000,} (GBP)",
                    "Deletable": true,
                    "Comment": "",
                    "HasSwitchSignLine": false,
                    "SwitchSignForReport": false,
                    "MultipleInputValues": {
                      "$type": "System.Collections.Generic.List`1[[ModelMaker.DimensionedArrayValues, ModelMaker]], mscorlib",
                      "$values": [
                        {
                          "$id": "225",
                          "$type": "ModelMaker.DimensionedArrayValues, ModelMaker",
                          "Elements": {
                            "$type": "ModelMakerEngine.MMElements, ModelMakerEngine",
                            "$values": []
                          },
                          "Values": {
                            "$type": "System.Collections.Generic.List`1[[System.Object, mscorlib]], mscorlib",
                            "$values": [
                              45000.0,
                              25000.0,
                              25000.0,
                              25000.0,
                              25000.0,
                              25000.0,
                              25000.0,
                              null
                            ]
                          }
                        }
                      ]
                    },
                    "NonPrimaryInput": false,
                    "Max": "NaN",
                    "Min": "NaN",
                    "IsBalanceButNotCorkscrew": false,
                    "IsEditable": true,
                    "IsConstant": true,
                    "UniqueID": "ddfa3119-84d6-43f7-a337-fae42462cd2a",
                    "Dimensions": {
                      "$type": "ModelMakerEngine.MMDimensions, ModelMakerEngine",
                      "$values": []
                    },
                    "EquationOBXInternal": "{45000,25000,25000,25000,25000,25000,25000,}",
                    "NameOfGroup": "Inputs.Expense",
                    "EquationToParse": "{45000,25000,25000,25000,25000,25000,25000,}",
                    "MostRecentExpectedUnitErrors": null,
                    "Units": {
                      "$ref": "11"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"226",
                    "$type": "ModelMaker.VariableNode, ModelMaker",
                    "RowTotalDependent": null,
                    "PutCalculationOnReport": false,
                    "CalculateOnThisReport": null,
                    "PivotTableLink": null,
                    "NumberFormatOverride": null,
                    "HasOpeningBalanceFlag": false,
                    "OpeningBalanceFlagAppliedName": "",
                    "ToolTip": "\n Is on Inputs.Expense=10% (%)",
                    "Deletable": true,
                    "Comment": "",
                    "HasSwitchSignLine": false,
                    "SwitchSignForReport": false,
                    "MultipleInputValues": null,
                    "NonPrimaryInput": false,
                    "Max": "NaN",
                    "Min": "NaN",
                    "IsBalanceButNotCorkscrew": false,
                    "IsEditable": true,
                    "IsConstant": true,
                    "UniqueID": "72c9a1c5-d163-43c3-b68f-fd5fbfacdcd8",
                    "Dimensions": {
                      "$type": "ModelMakerEngine.MMDimensions, ModelMakerEngine",
                      "$values": []
                    },
                    "EquationOBXInternal": "10%",
                    "NameOfGroup": "Inputs.Expense",
                    "EquationToParse": "10%",
                    "MostRecentExpectedUnitErrors": null,
                    "Units": {
                      "$id": "227",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"228",
                    "$type": "ModelMaker.VariableNode, ModelMaker",
                    "RowTotalDependent": null,
                    "PutCalculationOnReport": false,
                    "CalculateOnThisReport": null,
                    "PivotTableLink": null,
                    "NumberFormatOverride": null,
                    "HasOpeningBalanceFlag": false,
                    "OpeningBalanceFlagAppliedName": "",
                    "ToolTip": "\n Is on Inputs.Expense=3 (Months)",
                    "Deletable": true,
                    "Comment": "",
                    "HasSwitchSignLine": false,
                    "SwitchSignForReport": false,
                    "MultipleInputValues": null,
                    "NonPrimaryInput": false,
                    "Max": "NaN",
                    "Min": "NaN",
                    "IsBalanceButNotCorkscrew": false,
                    "IsEditable": true,
                    "IsConstant": true,
                    "UniqueID": "7949c2a8-d53a-4775-9649-b551a72e9f29",
                    "Dimensions": {
                      "$type": "ModelMakerEngine.MMDimensions, ModelMakerEngine",
                      "$values": []
                    },
                    "EquationOBXInternal": "3",
                    "NameOfGroup": "Inputs.Expense",
                    "EquationToParse": "3",
                    "MostRecentExpectedUnitErrors": null,
                    "Units": {
                      "$id": "229",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"230",
                    "$type": "ModelMaker.VariableNode, ModelMaker",
                    "RowTotalDependent": null,
                    "PutCalculationOnReport": false,
                    "CalculateOnThisReport": null,
                    "PivotTableLink": null,
                    "NumberFormatOverride": null,
                    "HasOpeningBalanceFlag": false,
                    "OpeningBalanceFlagAppliedName": "",
                    "ToolTip": "\n Is on Inputs.Expense=5% (%)",
                    "Deletable": true,
                    "Comment": "",
                    "HasSwitchSignLine": false,
                    "SwitchSignForReport": false,
                    "MultipleInputValues": null,
                    "NonPrimaryInput": false,
                    "Max": "NaN",
                    "Min": "NaN",
                    "IsBalanceButNotCorkscrew": false,
                    "IsEditable": true,
                    "IsConstant": true,
                    "UniqueID": "2676edbb-6ec6-41fc-a860-5393e72e5edc",
                    "Dimensions": {
                      "$type": "ModelMakerEngine.MMDimensions, ModelMakerEngine",
                      "$values": []
                    },
                    "EquationOBXInternal": "5%",
                    "NameOfGroup": "Inputs.Expense",
                    "EquationToParse": "5%",
                    "MostRecentExpectedUnitErrors": null,
                    "Units": {
                      "$id": "231",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"232",
              "$type": "ModelMaker.GroupNode, ModelMaker",
              "TabOrHeaderColour": "",
              "Comment": "",
              "NameOfGroup": "Inputs",
              "YPosition": 3,
              "Folded": true,
              "Font": null,
              "Children": {
                "$type": "ModelMaker.GroupNodeChildCollection, ModelMaker",
                "$values": [
                  {
                    "$id": "233",
                    "$type": "ModelMaker.VariableNode, ModelMaker",
                    "RowTotalDependent": null,
                    "PutCalculationOnReport": false,
                    "CalculateOnThisReport": null,
                    "PivotTableLink": null,
                    "NumberFormatOverride": null,
                    "HasOpeningBalanceFlag": false,
                    "OpeningBalanceFlagAppliedName": "",
                    "ToolTip": "\n Is on Inputs.Supplier orders={1000,1000,1000,1000,1000,1000,1000,} (Units)",
                    "Deletable": true,
                    "Comment": "",
                    "HasSwitchSignLine": false,
                    "SwitchSignForReport": false,
                    "MultipleInputValues": {
                      "$type": "System.Collections.Generic.List`1[[ModelMaker.DimensionedArrayValues, ModelMaker]], mscorlib",
                      "$values": [
                        {
                          "$id": "234",
                          "$type": "ModelMaker.DimensionedArrayValues, ModelMaker",
                          "Elements": {
                            "$type": "ModelMakerEngine.MMElements, ModelMakerEngine",
                            "$values": []
                          },
                          "Values": {
                            "$type": "System.Collections.Generic.List`1[[System.Object, mscorlib]], mscorlib",
                            "$values": [
                              1000.0,
                              1000.0,
                              1000.0,
                              1000.0,
                              1000.0,
                              1000.0,
                              1000.0,
                              null
                            ]
                          }
                        }
                      ]
                    },
                    "NonPrimaryInput": false,
                    "Max": "NaN",
                    "Min": "NaN",
                    "IsBalanceButNotCorkscrew": false,
                    "IsEditable": true,
                    "IsConstant": true,
                    "UniqueID": "b9a5e2ce-a525-48f7-8548-b8f2138d4639",
                    "Dimensions": {
                      "$type": "ModelMakerEngine.MMDimensions, ModelMakerEngine",
                      "$values": []
                    },
                    "EquationOBXInternal": "{1000,1000,1000,1000,1000,1000,1000,}",
                    "NameOfGroup": "Inputs.Supplier orders",
                    "EquationToParse": "{1000,1000,1000,1000,1000,1000,1000,}",
                    "MostRecentExpectedUnitErrors": null,
                    "Units": {
                      "$id": "235",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"236",
                    "$type": "ModelMaker.VariableNode, ModelMaker",
                    "RowTotalDependent": null,
                    "PutCalculationOnReport": false,
                    "CalculateOnThisReport": null,
                    "PivotTableLink": null,
                    "NumberFormatOverride": null,
                    "HasOpeningBalanceFlag": false,
                    "OpeningBalanceFlagAppliedName": "",
                    "ToolTip": "\n Is on Inputs.Supplier orders={0.3,,,,,,,} (%)",
                    "Deletable": true,
                    "Comment": "",
                    "HasSwitchSignLine": false,
                    "SwitchSignForReport": false,
                    "MultipleInputValues": {
                      "$type": "System.Collections.Generic.List`1[[ModelMaker.DimensionedArrayValues, ModelMaker]], mscorlib",
                      "$values": [
                        {
                          "$id": "237",
                          "$type": "ModelMaker.DimensionedArrayValues, ModelMaker",
                          "Elements": {
                            "$type": "ModelMakerEngine.MMElements, ModelMakerEngine",
                            "$values": []
                          },
                          "Values": {
                            "$type": "System.Collections.Generic.List`1[[System.Object, mscorlib]], mscorlib",
                            "$values": [
                              0.3,
                              null,
                              null,
                              null,
                              null,
                              null,
                              null,
                              null
                            ]
                          }
                        }
                      ]
                    },
                    "NonPrimaryInput": false,
                    "Max": "NaN",
                    "Min": "NaN",
                    "IsBalanceButNotCorkscrew": false,
                    "IsEditable": true,
                    "IsConstant": true,
                    "UniqueID": "ec459828-130f-44c9-abd4-fd1a22369fa7",
                    "Dimensions": {
                      "$type": "ModelMakerEngine.MMDimensions, ModelMakerEngine",
                      "$values": []
                    },
                    "EquationOBXInternal": "{0.3,,,,,,,}",
                    "NameOfGroup": "Inputs",
                    "EquationToParse": "{0.3,,,,,,,}",
                    "MostRecentExpectedUnitErrors": null,
                    "Units": {
                      "$id": "238",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"239",
                    "$type": "ModelMaker.VariableNode, ModelMaker",
                    "RowTotalDependent": null,
                    "PutCalculationOnReport": false,
                    "CalculateOnThisReport": null,
                    "PivotTableLink": null,
                    "NumberFormatOverride": null,
                    "HasOpeningBalanceFlag": false,
                    "OpeningBalanceFlagAppliedName": "",
                    "ToolTip": "\n Is on Inputs.Supplier orders={6,,,,,,,} (Months)",
                    "Deletable": true,
                    "Comment": "",
                    "HasSwitchSignLine": false,
                    "SwitchSignForReport": false,
                    "MultipleInputValues": {
                      "$type": "System.Collections.Generic.List`1[[ModelMaker.DimensionedArrayValues, ModelMaker]], mscorlib",
                      "$values": [
                        {
                          "$id": "240",
                          "$type": "ModelMaker.DimensionedArrayValues, ModelMaker",
                          "Elements": {
                            "$type": "ModelMakerEngine.MMElements, ModelMakerEngine",
                            "$values": []
                          },
                          "Values": {
                            "$type": "System.Collections.Generic.List`1[[System.Object, mscorlib]], mscorlib",
                            "$values": [
                              6.0,
                              null,
                              null,
                              null,
                              null,
                              null,
                              null,
                              null
                            ]
                          }
                        }
                      ]
                    },
                    "NonPrimaryInput": false,
                    "Max": "NaN",
                    "Min": "NaN",
                    "IsBalanceButNotCorkscrew": false,
                    "IsEditable": true,
                    "IsConstant": true,
                    "UniqueID": "0ebf1e11-726c-4831-9e2a-d6886375aef7",
                    "Dimensions": {
                      "$type": "ModelMakerEngine.MMDimensions, ModelMakerEngine",
                      "$values": []
                    },
                    "EquationOBXInternal": "{6,,,,,,,}",
                    "NameOfGroup": "Inputs.Inventory",
                    "EquationToParse": "{6,,,,,,,}",
                    "MostRecentExpectedUnitErrors": null,
                    "Units": {
                      "$id": "241",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"242",
                    "$type": "ModelMaker.VariableNode, ModelMaker",
                    "RowTotalDependent": null,
                    "PutCalculationOnReport": false,
                    "CalculateOnThisReport": null,
                    "PivotTableLink": null,
                    "NumberFormatOverride": null,
                    "HasOpeningBalanceFlag": false,
                    "OpeningBalanceFlagAppliedName": "",
                    "ToolTip": "\n Is on Inputs.Supplier orders={35,,,,,,,} (GBP)",
                    "Deletable": true,
                    "Comment": "",
                    "HasSwitchSignLine": false,
                    "SwitchSignForReport": false,
                    "MultipleInputValues": {
                      "$type": "System.Collections.Generic.List`1[[ModelMaker.DimensionedArrayValues, ModelMaker]], mscorlib",
                      "$values": [
                        {
                          "$id": "243",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"d15c4091-92b6-4515-a380-d1eef734291f",
                    "Dimensions": {
                      "$type": "ModelMakerEngine.MMDimensions, ModelMakerEngine",
                      "$values": []
                    },
                    "EquationOBXInternal": "{35,,,,,,,}",
                    "NameOfGroup": "Inputs.Inventory",
                    "EquationToParse": "{35,,,,,,,}",
                    "MostRecentExpectedUnitErrors": null,
                    "Units": {
                      "$ref": "11"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"244",
                    "$type": "ModelMaker.VariableNode, ModelMaker",
                    "RowTotalDependent": null,
                    "PutCalculationOnReport": false,
                    "CalculateOnThisReport": null,
                    "PivotTableLink": null,
                    "NumberFormatOverride": null,
                    "HasOpeningBalanceFlag": false,
                    "OpeningBalanceFlagAppliedName": "",
                    "ToolTip": "\n Is on Inputs.Supplier orders={5000,,,,,,,} (Units)",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"d9e05094-df88-4a74-86ad-dc0c9391a0b3",
                    "Dimensions": {
                      "$type": "ModelMakerEngine.MMDimensions, ModelMakerEngine",
                      "$values": []
                    },
                    "EquationOBXInternal": "{5000,,,,,,,}",
                    "NameOfGroup": "Inputs.Inventory",
                    "EquationToParse": "{5000,,,,,,,}",
                    "MostRecentExpectedUnitErrors": null,
                    "Units": {
                      "$id": "246",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"247",
              "$type": "ModelMaker.GroupNode, ModelMaker",
              "TabOrHeaderColour": "",
              "Comment": "",
              "NameOfGroup": "Inputs",
              "YPosition": 4,
              "Folded": true,
              "Font": null,
              "Children": {
                "$type": "ModelMaker.GroupNodeChildCollection, ModelMaker",
                "$values": [
                  {
                    "$id": "248",
                    "$type": "ModelMaker.VariableNode, ModelMaker",
                    "RowTotalDependent": null,
                    "PutCalculationOnReport": false,
                    "CalculateOnThisReport": null,
                    "PivotTableLink": null,
                    "NumberFormatOverride": null,
                    "HasOpeningBalanceFlag": false,
                    "OpeningBalanceFlagAppliedName": "",
                    "ToolTip": "\n Is on Inputs.Inventory=0 (Units)",
                    "Deletable": true,
                    "Comment": "",
                    "HasSwitchSignLine": false,
                    "SwitchSignForReport": false,
                    "MultipleInputValues": null,
                    "NonPrimaryInput": false,
                    "Max": "NaN",
                    "Min": "NaN",
                    "IsBalanceButNotCorkscrew": false,
                    "IsEditable": true,
                    "IsConstant": true,
                    "UniqueID": "381f4e60-94d4-47f1-9257-145451c9c38f",
                    "Dimensions": {
                      "$type": "ModelMakerEngine.MMDimensions, ModelMakerEngine",
                      "$values": []
                    },
                    "EquationOBXInternal": "0",
                    "NameOfGroup": "Inventory",
                    "EquationToParse": "0",
                    "MostRecentExpectedUnitErrors": null,
                    "Units": {
                      "$id": "249",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"Opening Total Units retired",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"250",
                    "$type": "ModelMaker.VariableNode, ModelMaker",
                    "RowTotalDependent": null,
                    "PutCalculationOnReport": false,
                    "CalculateOnThisReport": null,
                    "PivotTableLink": null,
                    "NumberFormatOverride": null,
                    "HasOpeningBalanceFlag": false,
                    "OpeningBalanceFlagAppliedName": "",
                    "ToolTip": "\n Is on Inputs.Inventory={24,,,,,,,} (Months)",
                    "Deletable": true,
                    "Comment": "",
                    "HasSwitchSignLine": false,
                    "SwitchSignForReport": false,
                    "MultipleInputValues": {
                      "$type": "System.Collections.Generic.List`1[[ModelMaker.DimensionedArrayValues, ModelMaker]], mscorlib",
                      "$values": [
                        {
                          "$id": "251",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"f91a1ec0-081e-4cf7-8f8a-8e8c38b76782",
                    "Dimensions": {
                      "$type": "ModelMakerEngine.MMDimensions, ModelMakerEngine",
                      "$values": []
                    },
                    "EquationOBXInternal": "{24,,,,,,,}",
                    "NameOfGroup": "Inputs.Inventory",
                    "EquationToParse": "{24,,,,,,,}",
                    "MostRecentExpectedUnitErrors": null,
                    "Units": {
                      "$id": "252",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"253",
                    "$type": "ModelMaker.VariableNode, ModelMaker",
                    "RowTotalDependent": null,
                    "PutCalculationOnReport": false,
                    "CalculateOnThisReport": null,
                    "PivotTableLink": null,
                    "NumberFormatOverride": null,
                    "HasOpeningBalanceFlag": false,
                    "OpeningBalanceFlagAppliedName": "",
                    "ToolTip": "\n Is on Inputs.Inventory={5000,,,,,,,} (Units)",
                    "Deletable": true,
                    "Comment": "",
                    "HasSwitchSignLine": false,
                    "SwitchSignForReport": false,
                    "MultipleInputValues": {
                      "$type": "System.Collections.Generic.List`1[[ModelMaker.DimensionedArrayValues, ModelMaker]], mscorlib",
                      "$values": [
                        {
                          "$id": "254",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"748f92a8-da57-448b-a8bd-5cf0ea664ff0",
                    "Dimensions": {
                      "$type": "ModelMakerEngine.MMDimensions, ModelMakerEngine",
                      "$values": []
                    },
                    "EquationOBXInternal": "{5000,,,,,,,}",
                    "NameOfGroup": "Inventory",
                    "EquationToParse": "{5000,,,,,,,}",
                    "MostRecentExpectedUnitErrors": null,
                    "Units": {
                      "$ref": "115"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"255",
                    "$type": "ModelMaker.VariableNode, ModelMaker",
                    "RowTotalDependent": null,
                    "PutCalculationOnReport": false,
                    "CalculateOnThisReport": null,
                    "PivotTableLink": null,
                    "NumberFormatOverride": null,
                    "HasOpeningBalanceFlag": false,
                    "OpeningBalanceFlagAppliedName": "",
                    "ToolTip": "\n Is on Inputs.Inventory={1000,,,,,,,} (Units)",
                    "Deletable": true,
                    "Comment": "",
                    "HasSwitchSignLine": false,
                    "SwitchSignForReport": false,
                    "MultipleInputValues": {
                      "$type": "System.Collections.Generic.List`1[[ModelMaker.DimensionedArrayValues, ModelMaker]], mscorlib",
                      "$values": [
                        {
                          "$id": "256",
                          "$type": "ModelMaker.DimensionedArrayValues, ModelMaker",
                          "Elements": {
                            "$type": "ModelMakerEngine.MMElements, ModelMakerEngine",
                            "$values": []
                          },
                          "Values": {
                            "$type": "System.Collections.Generic.List`1[[System.Object, mscorlib]], mscorlib",
                            "$values": [
                              1000.0,
                              null,
                              null,
                              null,
                              null,
                              null,
                              null,
                              null
                            ]
                          }
                        }
                      ]
                    },
                    "NonPrimaryInput": false,
                    "Max": "NaN",
                    "Min": "NaN",
                    "IsBalanceButNotCorkscrew": false,
                    "IsEditable": true,
                    "IsConstant": true,
                    "UniqueID": "daee40b5-e37f-4567-94d7-9a66c8aa2009",
                    "Dimensions": {
                      "$type": "ModelMakerEngine.MMDimensions, ModelMakerEngine",
                      "$values": []
                    },
                    "EquationOBXInternal": "{1000,,,,,,,}",
                    "NameOfGroup": "Inventory",
                    "EquationToParse": "{1000,,,,,,,}",
                    "MostRecentExpectedUnitErrors": null,
                    "Units": {
                      "$ref": "127"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"257",
                    "$type": "ModelMaker.VariableNode, ModelMaker",
                    "RowTotalDependent": null,
                    "PutCalculationOnReport": false,
                    "CalculateOnThisReport": null,
                    "PivotTableLink": null,
                    "NumberFormatOverride": null,
                    "HasOpeningBalanceFlag": false,
                    "OpeningBalanceFlagAppliedName": "",
                    "ToolTip": "\n Is on Inputs.Inventory={1500,,,,,,,} (Units)",
                    "Deletable": true,
                    "Comment": "",
                    "HasSwitchSignLine": false,
                    "SwitchSignForReport": false,
                    "MultipleInputValues": {
                      "$type": "System.Collections.Generic.List`1[[ModelMaker.DimensionedArrayValues, ModelMaker]], mscorlib",
                      "$values": [
                        {
                          "$id": "258",
                          "$type": "ModelMaker.DimensionedArrayValues, ModelMaker",
                          "Elements": {
                            "$type": "ModelMakerEngine.MMElements, ModelMakerEngine",
                            "$values": []
                          },
                          "Values": {
                            "$type": "System.Collections.Generic.List`1[[System.Object, mscorlib]], mscorlib",
                            "$values": [
                              1500.0,
                              null,
                              null,
                              null,
                              null,
                              null,
                              null,
                              null
                            ]
                          }
                        }
                      ]
                    },
                    "NonPrimaryInput": false,
                    "Max": "NaN",
                    "Min": "NaN",
                    "IsBalanceButNotCorkscrew": false,
                    "IsEditable": true,
                    "IsConstant": true,
                    "UniqueID": "d9213520-8998-4600-a681-7ef34f4438fa",
                    "Dimensions": {
                      "$type": "ModelMakerEngine.MMDimensions, ModelMakerEngine",
                      "$values": []
                    },
                    "EquationOBXInternal": "{1500,,,,,,,}",
                    "NameOfGroup": "Inventory",
                    "EquationToParse": "{1500,,,,,,,}",
                    "MostRecentExpectedUnitErrors": null,
                    "Units": {
                      "$ref": "130"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"259",
              "$type": "ModelMaker.GroupNode, ModelMaker",
              "TabOrHeaderColour": "",
              "Comment": "",
              "NameOfGroup": "Inputs",
              "YPosition": 5,
              "Folded": true,
              "Font": null,
              "Children": {
                "$type": "ModelMaker.GroupNodeChildCollection, ModelMaker",
                "$values": [
                  {
                    "$id": "260",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"273be653-4630-4d40-870f-7ed518619b29",
                    "Dimensions": {
                      "$type": "ModelMakerEngine.MMDimensions, ModelMakerEngine",
                      "$values": []
                    },
                    "EquationOBXInternal": "0",
                    "NameOfGroup": "Inputs.Opening Balances",
                    "EquationToParse": "0",
                    "MostRecentExpectedUnitErrors": null,
                    "Units": {
                      "$id": "261",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"262",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"367f7cfa-99c7-4e74-9cf2-1e13679c35a6",
                    "Dimensions": {
                      "$type": "ModelMakerEngine.MMDimensions, ModelMakerEngine",
                      "$values": []
                    },
                    "EquationOBXInternal": "0",
                    "NameOfGroup": "Inputs.Opening Balances",
                    "EquationToParse": "0",
                    "MostRecentExpectedUnitErrors": null,
                    "Units": {
                      "$ref": "11"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"263",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"7edd8f3b-a01f-4ffe-8ced-fb2eb84f07ef",
                    "Dimensions": {
                      "$type": "ModelMakerEngine.MMDimensions, ModelMakerEngine",
                      "$values": []
                    },
                    "EquationOBXInternal": "0",
                    "NameOfGroup": "Equity",
                    "EquationToParse": "0",
                    "MostRecentExpectedUnitErrors": null,
                    "Units": {
                      "$ref": "11"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"264",
                    "$type": "ModelMaker.VariableNode, ModelMaker",
                    "RowTotalDependent": null,
                    "PutCalculationOnReport": false,
                    "CalculateOnThisReport": null,
                    "PivotTableLink": null,
                    "NumberFormatOverride": null,
                    "HasOpeningBalanceFlag": false,
                    "OpeningBalanceFlagAppliedName": "",
                    "ToolTip": "\n Is on Inputs.Opening Balances= (GBP)",
                    "Deletable": true,
                    "Comment": "",
                    "HasSwitchSignLine": false,
                    "SwitchSignForReport": false,
                    "MultipleInputValues": null,
                    "NonPrimaryInput": false,
                    "Max": "NaN",
                    "Min": "NaN",
                    "IsBalanceButNotCorkscrew": false,
                    "IsEditable": true,
                    "IsConstant": true,
                    "UniqueID": "9ba05152-6bf0-468e-8a14-c69e40e7ee27",
                    "Dimensions": {
                      "$type": "ModelMakerEngine.MMDimensions, ModelMakerEngine",
                      "$values": []
                    },
                    "EquationOBXInternal": null,
                    "NameOfGroup": "Financials",
                    "EquationToParse": "",
                    "MostRecentExpectedUnitErrors": null,
                    "Units": {
                      "$ref": "11"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"265",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"c548b832-9c46-43f5-a20b-a35bf016fad5",
                    "Dimensions": {
                      "$type": "ModelMakerEngine.MMDimensions, ModelMakerEngine",
                      "$values": []
                    },
                    "EquationOBXInternal": "0",
                    "NameOfGroup": "Financials",
                    "EquationToParse": "0",
                    "MostRecentExpectedUnitErrors": null,
                    "Units": {
                      "$ref": "11"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"266",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"fe6f4e30-b421-4ff7-a4b8-5699c4b06c4b",
                    "Dimensions": {
                      "$type": "ModelMakerEngine.MMDimensions, ModelMakerEngine",
                      "$values": []
                    },
                    "EquationOBXInternal": "0",
                    "NameOfGroup": "Unallocated",
                    "EquationToParse": "0",
                    "MostRecentExpectedUnitErrors": null,
                    "Units": {
                      "$ref": "11"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"267",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"7e491758-e051-42c9-9709-23f5e2a48b48",
                    "Dimensions": {
                      "$type": "ModelMakerEngine.MMDimensions, ModelMakerEngine",
                      "$values": []
                    },
                    "EquationOBXInternal": "0",
                    "NameOfGroup": "Inputs",
                    "EquationToParse": "0",
                    "MostRecentExpectedUnitErrors": null,
                    "Units": {
                      "$ref": "11"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"268",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"2a9c2e4e-4be7-4b0e-9314-11c3d9cbc43d",
                    "Dimensions": {
                      "$type": "ModelMakerEngine.MMDimensions, ModelMakerEngine",
                      "$values": []
                    },
                    "EquationOBXInternal": "0",
                    "NameOfGroup": "Inputs",
                    "EquationToParse": "0",
                    "MostRecentExpectedUnitErrors": null,
                    "Units": {
                      "$ref": "11"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"269",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"8cfa56b9-9405-4fa5-8c07-09a7e99d49eb",
                    "Dimensions": {
                      "$type": "ModelMakerEngine.MMDimensions, ModelMakerEngine",
                      "$values": []
                    },
                    "EquationOBXInternal": "0",
                    "NameOfGroup": "Unallocated",
                    "EquationToParse": "0",
                    "MostRecentExpectedUnitErrors": null,
                    "Units": {
                      "$ref": "11"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"270",
              "$type": "ModelMaker.GroupNode, ModelMaker",
              "TabOrHeaderColour": "",
              "Comment": "",
              "NameOfGroup": "Inputs",
              "YPosition": 6,
              "Folded": true,
              "Font": null,
              "Children": {
                "$type": "ModelMaker.GroupNodeChildCollection, ModelMaker",
                "$values": [
                  {
                    "$id": "271",
                    "$type": "ModelMaker.VariableNode, ModelMaker",
                    "RowTotalDependent": null,
                    "PutCalculationOnReport": false,
                    "CalculateOnThisReport": null,
                    "PivotTableLink": null,
                    "NumberFormatOverride": null,
                    "HasOpeningBalanceFlag": false,
                    "OpeningBalanceFlagAppliedName": "",
                    "ToolTip": "\n Is on Inputs.Debt=30 (day)",
                    "Deletable": true,
                    "Comment": "",
                    "HasSwitchSignLine": false,
                    "SwitchSignForReport": false,
                    "MultipleInputValues": null,
                    "NonPrimaryInput": false,
                    "Max": "NaN",
                    "Min": "NaN",
                    "IsBalanceButNotCorkscrew": false,
                    "IsEditable": true,
                    "IsConstant": true,
                    "UniqueID": "2803a846-d509-4934-804c-c0ea0d685670",
                    "Dimensions": {
                      "$type": "ModelMakerEngine.MMDimensions, ModelMakerEngine",
                      "$values": []
                    },
                    "EquationOBXInternal": "30",
                    "NameOfGroup": "Inputs.Debt",
                    "EquationToParse": "30",
                    "MostRecentExpectedUnitErrors": null,
                    "Units": {
                      "$id": "272",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"NumberFormatOverride": null,
                    "HasOpeningBalanceFlag": false,
                    "OpeningBalanceFlagAppliedName": "",
                    "ToolTip": "\n Is on Inputs.Debt=360 (day)",
                    "Deletable": true,
                    "Comment": "",
                    "HasSwitchSignLine": false,
                    "SwitchSignForReport": false,
                    "MultipleInputValues": null,
                    "NonPrimaryInput": false,
                    "Max": "NaN",
                    "Min": "NaN",
                    "IsBalanceButNotCorkscrew": false,
                    "IsEditable": true,
                    "IsConstant": true,
                    "UniqueID": "f704a463-5252-40bb-8c3a-c1378830d832",
                    "Dimensions": {
                      "$type": "ModelMakerEngine.MMDimensions, ModelMakerEngine",
                      "$values": []
                    },
                    "EquationOBXInternal": "360",
                    "NameOfGroup": "Inputs.Debt",
                    "EquationToParse": "360",
                    "MostRecentExpectedUnitErrors": null,
                    "Units": {
                      "$id": "274",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"ModelMaker.GroupNode, ModelMaker",
                    "TabOrHeaderColour": "",
                    "Comment": "",
                    "NameOfGroup": "Inputs.Debt",
                    "YPosition": 2,
                    "Folded": true,
                    "Font": null,
                    "Children": {
                      "$type": "ModelMaker.GroupNodeChildCollection, ModelMaker",
                      "$values": [
                        {
                          "$id": "276",
                          "$type": "ModelMaker.VariableNode, ModelMaker",
                          "RowTotalDependent": null,
                          "PutCalculationOnReport": false,
                          "CalculateOnThisReport": null,
                          "PivotTableLink": null,
                          "NumberFormatOverride": null,
                          "HasOpeningBalanceFlag": false,
                          "OpeningBalanceFlagAppliedName": "",
                          "ToolTip": "\n Is on Inputs.Debt.Invoice Finance{45078,,,,,,,}",
                          "Deletable": true,
                          "Comment": "",
                          "HasSwitchSignLine": false,
                          "SwitchSignForReport": false,
                          "MultipleInputValues": {
                            "$type": "System.Collections.Generic.List`1[[ModelMaker.DimensionedArrayValues, ModelMaker]], mscorlib",
                            "$values": [
                              {
                                "$id": "277",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"46adaa70-47af-4617-81a4-b14debbe6077",
                          "Dimensions": {
                            "$type": "ModelMakerEngine.MMDimensions, ModelMakerEngine",
                            "$values": []
                          },
                          "EquationOBXInternal": "{45078,,,,,,,}",
                          "NameOfGroup": "Inputs.Debt.Invoice finance",
                          "EquationToParse": "{45078,,,,,,,}",
                          "MostRecentExpectedUnitErrors": null,
                          "Units": {
                            "$id": "278",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"NumberFormatOverride": null,
                          "HasOpeningBalanceFlag": false,
                          "OpeningBalanceFlagAppliedName": "",
                          "ToolTip": "\n Is on Inputs.Debt.Invoice Finance{45809,,,,,,,}",
                          "Deletable": true,
                          "Comment": "",
                          "HasSwitchSignLine": false,
                          "SwitchSignForReport": false,
                          "MultipleInputValues": {
                            "$type": "System.Collections.Generic.List`1[[ModelMaker.DimensionedArrayValues, ModelMaker]], mscorlib",
                            "$values": [
                              {
                                "$id": "280",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"5b34af45-7a99-464a-8b47-cf10542b3261",
                          "Dimensions": {
                            "$type": "ModelMakerEngine.MMDimensions, ModelMakerEngine",
                            "$values": []
                          },
                          "EquationOBXInternal": "{45809,,,,,,,}",
                          "NameOfGroup": "Inputs.Debt.Invoice finance",
                          "EquationToParse": "{45809,,,,,,,}",
                          "MostRecentExpectedUnitErrors": null,
                          "Units": {
                            "$id": "281",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"282",
                          "$type": "ModelMaker.VariableNode, ModelMaker",
                          "RowTotalDependent": null,
                          "PutCalculationOnReport": false,
                          "CalculateOnThisReport": null,
                          "PivotTableLink": null,
                          "NumberFormatOverride": null,
                          "HasOpeningBalanceFlag": false,
                          "OpeningBalanceFlagAppliedName": "",
                          "ToolTip": "\n Is on Inputs.Debt.Invoice Finance=90% (%)",
                          "Deletable": true,
                          "Comment": "",
                          "HasSwitchSignLine": false,
                          "SwitchSignForReport": false,
                          "MultipleInputValues": null,
                          "NonPrimaryInput": false,
                          "Max": "NaN",
                          "Min": "NaN",
                          "IsBalanceButNotCorkscrew": false,
                          "IsEditable": true,
                          "IsConstant": true,
                          "UniqueID": "1b2ec00b-1d5b-4653-876d-33079602e474",
                          "Dimensions": {
                            "$type": "ModelMakerEngine.MMDimensions, ModelMakerEngine",
                            "$values": []
                          },
                          "EquationOBXInternal": "90%",
                          "NameOfGroup": "Inputs.Debt",
                          "EquationToParse": "90%",
                          "MostRecentExpectedUnitErrors": null,
                          "Units": {
                            "$id": "283",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"284",
                          "$type": "ModelMaker.VariableNode, ModelMaker",
                          "RowTotalDependent": null,
                          "PutCalculationOnReport": false,
                          "CalculateOnThisReport": null,
                          "PivotTableLink": null,
                          "NumberFormatOverride": null,
                          "HasOpeningBalanceFlag": false,
                          "OpeningBalanceFlagAppliedName": "",
                          "ToolTip": "\n Is on Inputs.Debt.Invoice Finance=10% (%)",
                          "Deletable": true,
                          "Comment": "",
                          "HasSwitchSignLine": false,
                          "SwitchSignForReport": false,
                          "MultipleInputValues": null,
                          "NonPrimaryInput": false,
                          "Max": "NaN",
                          "Min": "NaN",
                          "IsBalanceButNotCorkscrew": false,
                          "IsEditable": true,
                          "IsConstant": true,
                          "UniqueID": "3a70b968-a594-4381-9a98-02c254486551",
                          "Dimensions": {
                            "$type": "ModelMakerEngine.MMDimensions, ModelMakerEngine",
                            "$values": []
                          },
                          "EquationOBXInternal": "10%",
                          "NameOfGroup": "Inputs.Debt",
                          "EquationToParse": "10%",
                          "MostRecentExpectedUnitErrors": null,
                          "Units": {
                            "$id": "285",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"286",
                          "$type": "ModelMaker.VariableNode, ModelMaker",
                          "RowTotalDependent": null,
                          "PutCalculationOnReport": false,
                          "CalculateOnThisReport": null,
                          "PivotTableLink": null,
                          "NumberFormatOverride": null,
                          "HasOpeningBalanceFlag": false,
                          "OpeningBalanceFlagAppliedName": "",
                          "ToolTip": "\n Is on Inputs.Debt.Invoice Finance= (GBP)",
                          "Deletable": true,
                          "Comment": "",
                          "HasSwitchSignLine": false,
                          "SwitchSignForReport": false,
                          "MultipleInputValues": null,
                          "NonPrimaryInput": false,
                          "Max": "NaN",
                          "Min": "NaN",
                          "IsBalanceButNotCorkscrew": false,
                          "IsEditable": true,
                          "IsConstant": true,
                          "UniqueID": "d5c995b7-5363-4b52-9de7-8db4181910e9",
                          "Dimensions": {
                            "$type": "ModelMakerEngine.MMDimensions, ModelMakerEngine",
                            "$values": []
                          },
                          "EquationOBXInternal": null,
                          "NameOfGroup": "Invoice finance",
                          "EquationToParse": "",
                          "MostRecentExpectedUnitErrors": null,
                          "Units": {
                            "$ref": "11"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"287",
                    "$type": "ModelMaker.GroupNode, ModelMaker",
                    "TabOrHeaderColour": "",
                    "Comment": "",
                    "NameOfGroup": "Inputs.Debt",
                    "YPosition": 3,
                    "Folded": true,
                    "Font": null,
                    "Children": {
                      "$type": "ModelMaker.GroupNodeChildCollection, ModelMaker",
                      "$values": [
                        {
                          "$id": "288",
                          "$type": "ModelMaker.VariableNode, ModelMaker",
                          "RowTotalDependent": null,
                          "PutCalculationOnReport": false,
                          "CalculateOnThisReport": null,
                          "PivotTableLink": null,
                          "NumberFormatOverride": null,
                          "HasOpeningBalanceFlag": false,
                          "OpeningBalanceFlagAppliedName": "",
                          "ToolTip": "\n Is on Inputs.Debt.Supply Chain Finance{45809,,,,,,,}",
                          "Deletable": true,
                          "Comment": "",
                          "HasSwitchSignLine": false,
                          "SwitchSignForReport": false,
                          "MultipleInputValues": {
                            "$type": "System.Collections.Generic.List`1[[ModelMaker.DimensionedArrayValues, ModelMaker]], mscorlib",
                            "$values": [
                              {
                                "$id": "289",
                                "$type": "ModelMaker.DimensionedArrayValues, ModelMaker",
                                "Elements": {
                                  "$type": "ModelMakerEngine.MMElements, ModelMakerEngine",
                                  "$values": []
                                },
                                "Values": {
                                  "$type": "System.Collections.Generic.List`1[[System.Object, mscorlib]], mscorlib",
                                  "$values": [
                                    45809.0,
                                    null,
                                    null,
                                    null,
                                    null,
                                    null,
                                    null,
                                    null
                                  ]
                                }
                              }
                            ]
                          },
                          "NonPrimaryInput": false,
                          "Max": "NaN",
                          "Min": "NaN",
                          "IsBalanceButNotCorkscrew": false,
                          "IsEditable": true,
                          "IsConstant": true,
                          "UniqueID": "f9a5b5b3-c1fe-401e-a931-b4ad397c7f0e",
                          "Dimensions": {
                            "$type": "ModelMakerEngine.MMDimensions, ModelMakerEngine",
                            "$values": []
                          },
                          "EquationOBXInternal": "{45809,,,,,,,}",
                          "NameOfGroup": "Inputs.Debt.Trade Finance",
                          "EquationToParse": "{45809,,,,,,,}",
                          "MostRecentExpectedUnitErrors": null,
                          "Units": {
                            "$id": "290",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"291",
                          "$type": "ModelMaker.VariableNode, ModelMaker",
                          "RowTotalDependent": null,
                          "PutCalculationOnReport": false,
                          "CalculateOnThisReport": null,
                          "PivotTableLink": null,
                          "NumberFormatOverride": null,
                          "HasOpeningBalanceFlag": false,
                          "OpeningBalanceFlagAppliedName": "",
                          "ToolTip": "\n Is on Inputs.Debt.Supply Chain Finance{45078,,,,,,,}",
                          "Deletable": true,
                          "Comment": "",
                          "HasSwitchSignLine": false,
                          "SwitchSignForReport": false,
                          "MultipleInputValues": {
                            "$type": "System.Collections.Generic.List`1[[ModelMaker.DimensionedArrayValues, ModelMaker]], mscorlib",
                            "$values": [
                              {
                                "$id": "292",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"c089e218-54a5-459c-8f65-877502f4518e",
                          "Dimensions": {
                            "$type": "ModelMakerEngine.MMDimensions, ModelMakerEngine",
                            "$values": []
                          },
                          "EquationOBXInternal": "{45078,,,,,,,}",
                          "NameOfGroup": "Inputs.Debt.Trade Finance",
                          "EquationToParse": "{45078,,,,,,,}",
                          "MostRecentExpectedUnitErrors": null,
                          "Units": {
                            "$id": "293",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"294",
                          "$type": "ModelMaker.VariableNode, ModelMaker",
                          "RowTotalDependent": null,
                          "PutCalculationOnReport": false,
                          "CalculateOnThisReport": null,
                          "PivotTableLink": null,
                          "NumberFormatOverride": null,
                          "HasOpeningBalanceFlag": false,
                          "OpeningBalanceFlagAppliedName": "",
                          "ToolTip": "\n Is on Inputs.Debt.Supply Chain Finance=0 (GBP)",
                          "Deletable": true,
                          "Comment": "",
                          "HasSwitchSignLine": false,
                          "SwitchSignForReport": false,
                          "MultipleInputValues": null,
                          "NonPrimaryInput": false,
                          "Max": "NaN",
                          "Min": "NaN",
                          "IsBalanceButNotCorkscrew": false,
                          "IsEditable": true,
                          "IsConstant": true,
                          "UniqueID": "647a6c69-42f4-4440-a096-64a0c27a0e81",
                          "Dimensions": {
                            "$type": "ModelMakerEngine.MMDimensions, ModelMakerEngine",
                            "$values": []
                          },
                          "EquationOBXInternal": "0",
                          "NameOfGroup": "Inputs.Debt",
                          "EquationToParse": "0",
                          "MostRecentExpectedUnitErrors": null,
                          "Units": {
                            "$id": "295",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"296",
                          "$type": "ModelMaker.VariableNode, ModelMaker",
                          "RowTotalDependent": null,
                          "PutCalculationOnReport": false,
                          "CalculateOnThisReport": null,
                          "PivotTableLink": null,
                          "NumberFormatOverride": null,
                          "HasOpeningBalanceFlag": false,
                          "OpeningBalanceFlagAppliedName": "",
                          "ToolTip": "\n Is on Inputs.Debt.Supply Chain Finance=8% (%)",
                          "Deletable": true,
                          "Comment": "",
                          "HasSwitchSignLine": false,
                          "SwitchSignForReport": false,
                          "MultipleInputValues": null,
                          "NonPrimaryInput": false,
                          "Max": "NaN",
                          "Min": "NaN",
                          "IsBalanceButNotCorkscrew": false,
                          "IsEditable": true,
                          "IsConstant": true,
                          "UniqueID": "79623d91-cda4-4478-8754-f835292cf0f2",
                          "Dimensions": {
                            "$type": "ModelMakerEngine.MMDimensions, ModelMakerEngine",
                            "$values": []
                          },
                          "EquationOBXInternal": "8%",
                          "NameOfGroup": "Inputs.Debt",
                          "EquationToParse": "8%",
                          "MostRecentExpectedUnitErrors": null,
                          "Units": {
                            "$id": "297",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"298",
                          "$type": "ModelMaker.VariableNode, ModelMaker",
                          "RowTotalDependent": null,
                          "PutCalculationOnReport": false,
                          "CalculateOnThisReport": null,
                          "PivotTableLink": null,
                          "NumberFormatOverride": null,
                          "HasOpeningBalanceFlag": false,
                          "OpeningBalanceFlagAppliedName": "",
                          "ToolTip": "\n Is on Inputs.Debt.Supply Chain Finance=80% (%)",
                          "Deletable": true,
                          "Comment": "",
                          "HasSwitchSignLine": false,
                          "SwitchSignForReport": false,
                          "MultipleInputValues": null,
                          "NonPrimaryInput": false,
                          "Max": "NaN",
                          "Min": "NaN",
                          "IsBalanceButNotCorkscrew": false,
                          "IsEditable": true,
                          "IsConstant": true,
                          "UniqueID": "25324ada-9c00-4afa-90ca-e15499f08b3d",
                          "Dimensions": {
                            "$type": "ModelMakerEngine.MMDimensions, ModelMakerEngine",
                            "$values": []
                          },
                          "EquationOBXInternal": "80%",
                          "NameOfGroup": "Inputs.Debt",
                          "EquationToParse": "80%",
                          "MostRecentExpectedUnitErrors": null,
                          "Units": {
                            "$id": "299",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"300",
                    "$type": "ModelMaker.GroupNode, ModelMaker",
                    "TabOrHeaderColour": "",
                    "Comment": "",
                    "NameOfGroup": "Inputs.Debt",
                    "YPosition": 4,
                    "Folded": true,
                    "Font": null,
                    "Children": {
                      "$type": "ModelMaker.GroupNodeChildCollection, ModelMaker",
                      "$values": [
                        {
                          "$id": "301",
                          "$type": "ModelMaker.VariableNode, ModelMaker",
                          "RowTotalDependent": null,
                          "PutCalculationOnReport": false,
                          "CalculateOnThisReport": null,
                          "PivotTableLink": null,
                          "NumberFormatOverride": null,
                          "HasOpeningBalanceFlag": false,
                          "OpeningBalanceFlagAppliedName": "",
                          "ToolTip": "\n Is on Inputs.Debt.Asset Finance{45777,,,,,,,}",
                          "Deletable": true,
                          "Comment": "",
                          "HasSwitchSignLine": false,
                          "SwitchSignForReport": false,
                          "MultipleInputValues": {
                            "$type": "System.Collections.Generic.List`1[[ModelMaker.DimensionedArrayValues, ModelMaker]], mscorlib",
                            "$values": [
                              {
                                "$id": "302",
                                "$type": "ModelMaker.DimensionedArrayValues, ModelMaker",
                                "Elements": {
                                  "$type": "ModelMakerEngine.MMElements, ModelMakerEngine",
                                  "$values": []
                                },
                                "Values": {
                                  "$type": "System.Collections.Generic.List`1[[System.Object, mscorlib]], mscorlib",
                                  "$values": [
                                    45777.0,
                                    null,
                                    null,
                                    null,
                                    null,
                                    null,
                                    null,
                                    null
                                  ]
                                }
                              }
                            ]
                          },
                          "NonPrimaryInput": false,
                          "Max": "NaN",
                          "Min": "NaN",
                          "IsBalanceButNotCorkscrew": false,
                          "IsEditable": true,
                          "IsConstant": true,
                          "UniqueID": "e3571ea8-f48c-4089-acc9-f051d9fe1ab6",
                          "Dimensions": {
                            "$type": "ModelMakerEngine.MMDimensions, ModelMakerEngine",
                            "$values": []
                          },
                          "EquationOBXInternal": "{45777,,,,,,,}",
                          "NameOfGroup": "Time.Debts flags",
                          "EquationToParse": "{45777,,,,,,,}",
                          "MostRecentExpectedUnitErrors": null,
                          "Units": {
                            "$id": "303",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"304",
                          "$type": "ModelMaker.VariableNode, ModelMaker",
                          "RowTotalDependent": null,
                          "PutCalculationOnReport": false,
                          "CalculateOnThisReport": null,
                          "PivotTableLink": null,
                          "NumberFormatOverride": null,
                          "HasOpeningBalanceFlag": false,
                          "OpeningBalanceFlagAppliedName": "",
                          "ToolTip": "\n Is on Inputs.Debt.Asset Finance{45047,,,,,,,}",
                          "Deletable": true,
                          "Comment": "",
                          "HasSwitchSignLine": false,
                          "SwitchSignForReport": false,
                          "MultipleInputValues": {
                            "$type": "System.Collections.Generic.List`1[[ModelMaker.DimensionedArrayValues, ModelMaker]], mscorlib",
                            "$values": [
                              {
                                "$id": "305",
                                "$type": "ModelMaker.DimensionedArrayValues, ModelMaker",
                                "Elements": {
                                  "$type": "ModelMakerEngine.MMElements, ModelMakerEngine",
                                  "$values": []
                                },
                                "Values": {
                                  "$type": "System.Collections.Generic.List`1[[System.Object, mscorlib]], mscorlib",
                                  "$values": [
                                    45047.0,
                                    null,
                                    null,
                                    null,
                                    null,
                                    null,
                                    null,
                                    null
                                  ]
                                }
                              }
                            ]
                          },
                          "NonPrimaryInput": false,
                          "Max": "NaN",
                          "Min": "NaN",
                          "IsBalanceButNotCorkscrew": false,
                          "IsEditable": true,
                          "IsConstant": true,
                          "UniqueID": "20b1e76e-4f06-4576-ae91-70765cf13177",
                          "Dimensions": {
                            "$type": "ModelMakerEngine.MMDimensions, ModelMakerEngine",
                            "$values": []
                          },
                          "EquationOBXInternal": "{45047,,,,,,,}",
                          "NameOfGroup": "Time.Debts flags",
                          "EquationToParse": "{45047,,,,,,,}",
                          "MostRecentExpectedUnitErrors": null,
                          "Units": {
                            "$id": "306",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"307",
                          "$type": "ModelMaker.VariableNode, ModelMaker",
                          "RowTotalDependent": null,
                          "PutCalculationOnReport": false,
                          "CalculateOnThisReport": null,
                          "PivotTableLink": null,
                          "NumberFormatOverride": null,
                          "HasOpeningBalanceFlag": false,
                          "OpeningBalanceFlagAppliedName": "",
                          "ToolTip": "\n Is on Inputs.Debt.Asset Finance={0.08,,,,,,,} (%)",
                          "Deletable": true,
                          "Comment": "",
                          "HasSwitchSignLine": false,
                          "SwitchSignForReport": false,
                          "MultipleInputValues": {
                            "$type": "System.Collections.Generic.List`1[[ModelMaker.DimensionedArrayValues, ModelMaker]], mscorlib",
                            "$values": [
                              {
                                "$id": "308",
                                "$type": "ModelMaker.DimensionedArrayValues, ModelMaker",
                                "Elements": {
                                  "$type": "ModelMakerEngine.MMElements, ModelMakerEngine",
                                  "$values": []
                                },
                                "Values": {
                                  "$type": "System.Collections.Generic.List`1[[System.Object, mscorlib]], mscorlib",
                                  "$values": [
                                    0.08,
                                    null,
                                    null,
                                    null,
                                    null,
                                    null,
                                    null,
                                    null
                                  ]
                                }
                              }
                            ]
                          },
                          "NonPrimaryInput": false,
                          "Max": "NaN",
                          "Min": "NaN",
                          "IsBalanceButNotCorkscrew": false,
                          "IsEditable": true,
                          "IsConstant": true,
                          "UniqueID": "f7fa138f-0f5e-4400-a728-7df09831644a",
                          "Dimensions": {
                            "$type": "ModelMakerEngine.MMDimensions, ModelMakerEngine",
                            "$values": []
                          },
                          "EquationOBXInternal": "{0.08,,,,,,,}",
                          "NameOfGroup": "Asset Finance",
                          "EquationToParse": "{0.08,,,,,,,}",
                          "MostRecentExpectedUnitErrors": null,
                          "Units": {
                            "$id": "309",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"310",
                          "$type": "ModelMaker.VariableNode, ModelMaker",
                          "RowTotalDependent": null,
                          "PutCalculationOnReport": false,
                          "CalculateOnThisReport": null,
                          "PivotTableLink": null,
                          "NumberFormatOverride": null,
                          "HasOpeningBalanceFlag": false,
                          "OpeningBalanceFlagAppliedName": "",
                          "ToolTip": "\n Is on Inputs.Debt.Asset Finance={24,,,,,,,} (Months)",
                          "Deletable": true,
                          "Comment": "",
                          "HasSwitchSignLine": false,
                          "SwitchSignForReport": false,
                          "MultipleInputValues": {
                            "$type": "System.Collections.Generic.List`1[[ModelMaker.DimensionedArrayValues, ModelMaker]], mscorlib",
                            "$values": [
                              {
                                "$id": "311",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"780aa5ef-e4fe-4330-b8bc-4d690a52c43b",
                          "Dimensions": {
                            "$type": "ModelMakerEngine.MMDimensions, ModelMakerEngine",
                            "$values": []
                          },
                          "EquationOBXInternal": "{24,,,,,,,}",
                          "NameOfGroup": "Asset Finance",
                          "EquationToParse": "{24,,,,,,,}",
                          "MostRecentExpectedUnitErrors": null,
                          "Units": {
                            "$id": "312",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"313",
                          "$type": "ModelMaker.VariableNode, ModelMaker",
                          "RowTotalDependent": null,
                          "PutCalculationOnReport": false,
                          "CalculateOnThisReport": null,
                          "PivotTableLink": null,
                          "NumberFormatOverride": null,
                          "HasOpeningBalanceFlag": false,
                          "OpeningBalanceFlagAppliedName": "",
                          "ToolTip": "\n Is on Inputs.Debt.Asset Finance={1,,,,,,,} (%)",
                          "Deletable": true,
                          "Comment": "",
                          "HasSwitchSignLine": false,
                          "SwitchSignForReport": false,
                          "MultipleInputValues": {
                            "$type": "System.Collections.Generic.List`1[[ModelMaker.DimensionedArrayValues, ModelMaker]], mscorlib",
                            "$values": [
                              {
                                "$id": "314",
                                "$type": "ModelMaker.DimensionedArrayValues, ModelMaker",
                                "Elements": {
                                  "$type": "ModelMakerEngine.MMElements, ModelMakerEngine",
                                  "$values": []
                                },
                                "Values": {
                                  "$type": "System.Collections.Generic.List`1[[System.Object, mscorlib]], mscorlib",
                                  "$values": [
                                    1.0,
                                    null,
                                    null,
                                    null,
                                    null,
                                    null,
                                    null,
                                    null
                                  ]
                                }
                              }
                            ]
                          },
                          "NonPrimaryInput": false,
                          "Max": "NaN",
                          "Min": "NaN",
                          "IsBalanceButNotCorkscrew": false,
                          "IsEditable": true,
                          "IsConstant": true,
                          "UniqueID": "1d5fc134-993a-48ee-a2c3-86d19115004d",
                          "Dimensions": {
                            "$type": "ModelMakerEngine.MMDimensions, ModelMakerEngine",
                            "$values": []
                          },
                          "EquationOBXInternal": "{1,,,,,,,}",
                          "NameOfGroup": "Asset Finance",
                          "EquationToParse": "{1,,,,,,,}",
                          "MostRecentExpectedUnitErrors": null,
                          "Units": {
                            "$id": "315",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"316",
                          "$type": "ModelMaker.VariableNode, ModelMaker",
                          "RowTotalDependent": null,
                          "PutCalculationOnReport": false,
                          "CalculateOnThisReport": null,
                          "PivotTableLink": null,
                          "NumberFormatOverride": null,
                          "HasOpeningBalanceFlag": false,
                          "OpeningBalanceFlagAppliedName": "",
                          "ToolTip": "\n Is on Inputs.Debt.Asset Finance={0,,,,,,,} (GBP)",
                          "Deletable": true,
                          "Comment": "",
                          "HasSwitchSignLine": false,
                          "SwitchSignForReport": false,
                          "MultipleInputValues": {
                            "$type": "System.Collections.Generic.List`1[[ModelMaker.DimensionedArrayValues, ModelMaker]], mscorlib",
                            "$values": [
                              {
                                "$id": "317",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"e8405182-b4ca-4685-bfb2-aa70830add0e",
                          "Dimensions": {
                            "$type": "ModelMakerEngine.MMDimensions, ModelMakerEngine",
                            "$values": []
                          },
                          "EquationOBXInternal": "{0,,,,,,,}",
                          "NameOfGroup": "Asset Finance",
                          "EquationToParse": "{0,,,,,,,}",
                          "MostRecentExpectedUnitErrors": null,
                          "Units": {
                            "$ref": "11"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"318",
              "$type": "ModelMaker.GroupNode, ModelMaker",
              "TabOrHeaderColour": "",
              "Comment": "",
              "NameOfGroup": "Inputs",
              "YPosition": 7,
              "Folded": true,
              "Font": null,
              "Children": {
                "$type": "ModelMaker.GroupNodeChildCollection, ModelMaker",
                "$values": [
                  {
                    "$id": "319",
                    "$type": "ModelMaker.VariableNode, ModelMaker",
                    "RowTotalDependent": null,
                    "PutCalculationOnReport": false,
                    "CalculateOnThisReport": null,
                    "PivotTableLink": null,
                    "NumberFormatOverride": null,
                    "HasOpeningBalanceFlag": false,
                    "OpeningBalanceFlagAppliedName": "",
                    "ToolTip": "\n Is on Inputs.VAT={3,3,3,3,3,3,3,} (Months)",
                    "Deletable": true,
                    "Comment": "",
                    "HasSwitchSignLine": false,
                    "SwitchSignForReport": false,
                    "MultipleInputValues": {
                      "$type": "System.Collections.Generic.List`1[[ModelMaker.DimensionedArrayValues, ModelMaker]], mscorlib",
                      "$values": [
                        {
                          "$id": "320",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"8af08e48-386d-4f77-95e5-4130260aa5eb",
                    "Dimensions": {
                      "$type": "ModelMakerEngine.MMDimensions, ModelMakerEngine",
                      "$values": []
                    },
                    "EquationOBXInternal": "{3,3,3,3,3,3,3,}",
                    "NameOfGroup": "Time.VAT return this period flag",
                    "EquationToParse": "{3,3,3,3,3,3,3,}",
                    "MostRecentExpectedUnitErrors": null,
                    "Units": {
                      "$id": "321",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"322",
                    "$type": "ModelMaker.VariableNode, ModelMaker",
                    "RowTotalDependent": null,
                    "PutCalculationOnReport": false,
                    "CalculateOnThisReport": null,
                    "PivotTableLink": null,
                    "NumberFormatOverride": null,
                    "HasOpeningBalanceFlag": false,
                    "OpeningBalanceFlagAppliedName": "",
                    "ToolTip": "\n Is on Inputs.VAT{45078,,,,,,,}",
                    "Deletable": true,
                    "Comment": "",
                    "HasSwitchSignLine": false,
                    "SwitchSignForReport": false,
                    "MultipleInputValues": {
                      "$type": "System.Collections.Generic.List`1[[ModelMaker.DimensionedArrayValues, ModelMaker]], mscorlib",
                      "$values": [
                        {
                          "$id": "323",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"899fed36-21ac-47dd-bdee-37e458cd026f",
                    "Dimensions": {
                      "$type": "ModelMakerEngine.MMDimensions, ModelMakerEngine",
                      "$values": []
                    },
                    "EquationOBXInternal": "{45078,,,,,,,}",
                    "NameOfGroup": "Time.VAT return this period flag",
                    "EquationToParse": "{45078,,,,,,,}",
                    "MostRecentExpectedUnitErrors": null,
                    "Units": {
                      "$id": "324",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"325",
                    "$type": "ModelMaker.VariableNode, ModelMaker",
                    "RowTotalDependent": null,
                    "PutCalculationOnReport": false,
                    "CalculateOnThisReport": null,
                    "PivotTableLink": null,
                    "NumberFormatOverride": null,
                    "HasOpeningBalanceFlag": false,
                    "OpeningBalanceFlagAppliedName": "",
                    "ToolTip": "\n Is on Inputs.VAT=50% (%)",
                    "Deletable": true,
                    "Comment": "",
                    "HasSwitchSignLine": false,
                    "SwitchSignForReport": false,
                    "MultipleInputValues": null,
                    "NonPrimaryInput": false,
                    "Max": "NaN",
                    "Min": "NaN",
                    "IsBalanceButNotCorkscrew": false,
                    "IsEditable": true,
                    "IsConstant": true,
                    "UniqueID": "84aa467e-fd73-42f4-a44a-ceaf22406633",
                    "Dimensions": {
                      "$type": "ModelMakerEngine.MMDimensions, ModelMakerEngine",
                      "$values": []
                    },
                    "EquationOBXInternal": "50%",
                    "NameOfGroup": "Inputs.VAT",
                    "EquationToParse": "50%",
                    "MostRecentExpectedUnitErrors": null,
                    "Units": {
                      "$id": "326",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"327",
                    "$type": "ModelMaker.VariableNode, ModelMaker",
                    "RowTotalDependent": null,
                    "PutCalculationOnReport": false,
                    "CalculateOnThisReport": null,
                    "PivotTableLink": null,
                    "NumberFormatOverride": null,
                    "HasOpeningBalanceFlag": false,
                    "OpeningBalanceFlagAppliedName": "",
                    "ToolTip": "\n Is on Inputs.VAT=20% (%)",
                    "Deletable": true,
                    "Comment": "",
                    "HasSwitchSignLine": false,
                    "SwitchSignForReport": false,
                    "MultipleInputValues": null,
                    "NonPrimaryInput": false,
                    "Max": "NaN",
                    "Min": "NaN",
                    "IsBalanceButNotCorkscrew": false,
                    "IsEditable": true,
                    "IsConstant": true,
                    "UniqueID": "d3de8110-dc43-4ef7-86dc-6cdd41ef777b",
                    "Dimensions": {
                      "$type": "ModelMakerEngine.MMDimensions, ModelMakerEngine",
                      "$values": []
                    },
                    "EquationOBXInternal": "20%",
                    "NameOfGroup": "Inputs.VAT",
                    "EquationToParse": "20%",
                    "MostRecentExpectedUnitErrors": null,
                    "Units": {
                      "$id": "328",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"329",
                    "$type": "ModelMaker.VariableNode, ModelMaker",
                    "RowTotalDependent": null,
                    "PutCalculationOnReport": false,
                    "CalculateOnThisReport": null,
                    "PivotTableLink": null,
                    "NumberFormatOverride": null,
                    "HasOpeningBalanceFlag": false,
                    "OpeningBalanceFlagAppliedName": "",
                    "ToolTip": "\n Is on Inputs.VAT=1 (Months)",
                    "Deletable": true,
                    "Comment": "",
                    "HasSwitchSignLine": false,
                    "SwitchSignForReport": false,
                    "MultipleInputValues": null,
                    "NonPrimaryInput": false,
                    "Max": "NaN",
                    "Min": "NaN",
                    "IsBalanceButNotCorkscrew": false,
                    "IsEditable": true,
                    "IsConstant": true,
                    "UniqueID": "f73b781e-529b-4fdb-9114-16e4b96668be",
                    "Dimensions": {
                      "$type": "ModelMakerEngine.MMDimensions, ModelMakerEngine",
                      "$values": []
                    },
                    "EquationOBXInternal": "1",
                    "NameOfGroup": "Inputs.VAT",
                    "EquationToParse": "1",
                    "MostRecentExpectedUnitErrors": null,
                    "Units": {
                      "$id": "330",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"331",
              "$type": "ModelMaker.GroupNode, ModelMaker",
              "TabOrHeaderColour": "",
              "Comment": "",
              "NameOfGroup": "Inputs",
              "YPosition": 8,
              "Folded": true,
              "Font": null,
              "Children": {
                "$type": "ModelMaker.GroupNodeChildCollection, ModelMaker",
                "$values": [
                  {
                    "$id": "332",
                    "$type": "ModelMaker.VariableNode, ModelMaker",
                    "RowTotalDependent": null,
                    "PutCalculationOnReport": false,
                    "CalculateOnThisReport": null,
                    "PivotTableLink": null,
                    "NumberFormatOverride": null,
                    "HasOpeningBalanceFlag": false,
                    "OpeningBalanceFlagAppliedName": "",
                    "ToolTip": "\n Is on Inputs.Corporation Tax={0.2,,,,,,,} (%)",
                    "Deletable": true,
                    "Comment": "",
                    "HasSwitchSignLine": false,
                    "SwitchSignForReport": false,
                    "MultipleInputValues": {
                      "$type": "System.Collections.Generic.List`1[[ModelMaker.DimensionedArrayValues, ModelMaker]], mscorlib",
                      "$values": [
                        {
                          "$id": "333",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"7a2619b5-cae6-447a-b78d-bd1170676b27",
                    "Dimensions": {
                      "$type": "ModelMakerEngine.MMDimensions, ModelMakerEngine",
                      "$values": []
                    },
                    "EquationOBXInternal": "{0.2,,,,,,,}",
                    "NameOfGroup": "Corporation tax",
                    "EquationToParse": "{0.2,,,,,,,}",
                    "MostRecentExpectedUnitErrors": null,
                    "Units": {
                      "$id": "334",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"335",
                    "$type": "ModelMaker.VariableNode, ModelMaker",
                    "RowTotalDependent": null,
                    "PutCalculationOnReport": false,
                    "CalculateOnThisReport": null,
                    "PivotTableLink": null,
                    "NumberFormatOverride": null,
                    "HasOpeningBalanceFlag": false,
                    "OpeningBalanceFlagAppliedName": "",
                    "ToolTip": "\n Is on Inputs.Corporation Tax={0,,,,,,,} (GBP)",
                    "Deletable": true,
                    "Comment": "",
                    "HasSwitchSignLine": false,
                    "SwitchSignForReport": false,
                    "MultipleInputValues": {
                      "$type": "System.Collections.Generic.List`1[[ModelMaker.DimensionedArrayValues, ModelMaker]], mscorlib",
                      "$values": [
                        {
                          "$id": "336",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"84e7a423-9327-458d-8743-8f6b63c6e3c1",
                    "Dimensions": {
                      "$type": "ModelMakerEngine.MMDimensions, ModelMakerEngine",
                      "$values": []
                    },
                    "EquationOBXInternal": "{0,,,,,,,}",
                    "NameOfGroup": "Corporation tax",
                    "EquationToParse": "{0,,,,,,,}",
                    "MostRecentExpectedUnitErrors": null,
                    "Units": {
                      "$id": "337",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"338",
                    "$type": "ModelMaker.VariableNode, ModelMaker",
                    "RowTotalDependent": null,
                    "PutCalculationOnReport": false,
                    "CalculateOnThisReport": null,
                    "PivotTableLink": null,
                    "NumberFormatOverride": null,
                    "HasOpeningBalanceFlag": false,
                    "OpeningBalanceFlagAppliedName": "",
                    "ToolTip": "\n Is on Inputs.Corporation Tax={8,12,12,12,12,12,12,} ()",
                    "Deletable": true,
                    "Comment": "",
                    "HasSwitchSignLine": false,
                    "SwitchSignForReport": false,
                    "MultipleInputValues": {
                      "$type": "System.Collections.Generic.List`1[[ModelMaker.DimensionedArrayValues, ModelMaker]], mscorlib",
                      "$values": [
                        {
                          "$id": "339",
                          "$type": "ModelMaker.DimensionedArrayValues, ModelMaker",
                          "Elements": {
                            "$type": "ModelMakerEngine.MMElements, ModelMakerEngine",
                            "$values": []
                          },
                          "Values": {
                            "$type": "System.Collections.Generic.List`1[[System.Object, mscorlib]], mscorlib",
                            "$values": [
                              8.0,
                              12.0,
                              12.0,
                              12.0,
                              12.0,
                              12.0,
                              12.0,
                              null
                            ]
                          }
                        }
                      ]
                    },
                    "NonPrimaryInput": false,
                    "Max": "NaN",
                    "Min": "NaN",
                    "IsBalanceButNotCorkscrew": false,
                    "IsEditable": true,
                    "IsConstant": true,
                    "UniqueID": "3cd2f606-52bc-4e80-a5b0-99b0e395d363",
                    "Dimensions": {
                      "$type": "ModelMakerEngine.MMDimensions, ModelMakerEngine",
                      "$values": []
                    },
                    "EquationOBXInternal": "{8,12,12,12,12,12,12,}",
                    "NameOfGroup": "Corporation tax",
                    "EquationToParse": "{8,12,12,12,12,12,12,}",
                    "MostRecentExpectedUnitErrors": null,
                    "Units": {
                      "$id": "340",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"341",
                    "$type": "ModelMaker.VariableNode, ModelMaker",
                    "RowTotalDependent": null,
                    "PutCalculationOnReport": false,
                    "CalculateOnThisReport": null,
                    "PivotTableLink": null,
                    "NumberFormatOverride": null,
                    "HasOpeningBalanceFlag": false,
                    "OpeningBalanceFlagAppliedName": "",
                    "ToolTip": "\n Is on Inputs.Corporation Tax={0,0,0,0,0,0,0,} (GBP)",
                    "Deletable": true,
                    "Comment": "",
                    "HasSwitchSignLine": false,
                    "SwitchSignForReport": false,
                    "MultipleInputValues": {
                      "$type": "System.Collections.Generic.List`1[[ModelMaker.DimensionedArrayValues, ModelMaker]], mscorlib",
                      "$values": [
                        {
                          "$id": "342",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"a55c8318-573e-498b-b482-9e011e92064d",
                    "Dimensions": {
                      "$type": "ModelMakerEngine.MMDimensions, ModelMakerEngine",
                      "$values": []
                    },
                    "EquationOBXInternal": "{0,0,0,0,0,0,0,}",
                    "NameOfGroup": "Inputs.Corporation Tax",
                    "EquationToParse": "{0,0,0,0,0,0,0,}",
                    "MostRecentExpectedUnitErrors": null,
                    "Units": {
                      "$id": "343",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"344",
              "$type": "ModelMaker.GroupNode, ModelMaker",
              "TabOrHeaderColour": "",
              "Comment": "",
              "NameOfGroup": "Inputs",
              "YPosition": 9,
              "Folded": true,
              "Font": null,
              "Children": {
                "$type": "ModelMaker.GroupNodeChildCollection, ModelMaker",
                "$values": [
                  {
                    "$ref": "89"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"345",
              "$type": "ModelMaker.GroupNode, ModelMaker",
              "TabOrHeaderColour": "",
              "Comment": "",
              "NameOfGroup": "Inputs",
              "YPosition": 10,
              "Folded": false,
              "Font": null,
              "Children": {
                "$type": "ModelMaker.GroupNodeChildCollection, ModelMaker",
                "$values": [
                  {
                    "$id": "346",
                    "$type": "ModelMaker.VariableNode, ModelMaker",
                    "RowTotalDependent": null,
                    "PutCalculationOnReport": false,
                    "CalculateOnThisReport": null,
                    "PivotTableLink": null,
                    "NumberFormatOverride": null,
                    "HasOpeningBalanceFlag": false,
                    "OpeningBalanceFlagAppliedName": "",
                    "ToolTip": "\n Is on Inputs.Short term forecast={,5000,,,,10000,,,,10000,,10000,,,,,,,,,,,,,,,,,,,,,,,,,,,,,,,,,,,,,,,,,,,,,,,,,} (GBP)",
                    "Deletable": true,
                    "Comment": "",
                    "HasSwitchSignLine": false,
                    "SwitchSignForReport": false,
                    "MultipleInputValues": {
                      "$type": "System.Collections.Generic.List`1[[ModelMaker.DimensionedArrayValues, ModelMaker]], mscorlib",
                      "$values": [
                        {
                          "$id": "347",
                          "$type": "ModelMaker.DimensionedArrayValues, ModelMaker",
                          "Elements": {
                            "$type": "ModelMakerEngine.MMElements, ModelMakerEngine",
                            "$values": []
                          },
                          "Values": {
                            "$type": "System.Collections.Generic.List`1[[System.Object, mscorlib]], mscorlib",
                            "$values": [
                              "",
                              "5000",
                              "",
                              "",
                              "",
                              "10000",
                              "",
                              "",
                              "",
                              "10000",
                              "",
                              "10000",
                              "",
                              "",
                              "",
                              "",
                              "",
                              "",
                              "",
                              "",
                              "",
                              "",
                              "",
                              "",
                              "",
                              "",
                              "",
                              "",
                              "",
                              "",
                              "",
                              "",
                              "",
                              "",
                              "",
                              "",
                              "",
                              "",
                              "",
                              "",
                              "",
                              "",
                              "",
                              "",
                              "",
                              "",
                              "",
                              "",
                              "",
                              "",
                              "",
                              "",
                              "",
                              "",
                              "",
                              "",
                              "",
                              "",
                              "",
                              "",
                              ""
                            ]
                          }
                        }
                      ]
                    },
                    "NonPrimaryInput": false,
                    "Max": "NaN",
                    "Min": "NaN",
                    "IsBalanceButNotCorkscrew": false,
                    "IsEditable": true,
                    "IsConstant": false,
                    "UniqueID": "bb732427-db63-46e0-9191-12ae97b71a18",
                    "Dimensions": {
                      "$type": "ModelMakerEngine.MMDimensions, ModelMakerEngine",
                      "$values": []
                    },
                    "EquationOBXInternal": "{,5000,,,,10000,,,,10000,,10000,,,,,,,,,,,,,,,,,,,,,,,,,,,,,,,,,,,,,,,,,,,,,,,,,}",
                    "NameOfGroup": "Inputs.Short term forecast",
                    "EquationToParse": "{,5000,,,,10000,,,,10000,,10000,,,,,,,,,,,,,,,,,,,,,,,,,,,,,,,,,,,,,,,,,,,,,,,,,}",
                    "MostRecentExpectedUnitErrors": null,
                    "Units": {
                      "$ref": "11"
                    },
                    "Name": "STF Units delivered",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"348",
                    "$type": "ModelMaker.VariableNode, ModelMaker",
                    "RowTotalDependent": null,
                    "PutCalculationOnReport": false,
                    "CalculateOnThisReport": null,
                    "PivotTableLink": null,
                    "NumberFormatOverride": null,
                    "HasOpeningBalanceFlag": false,
                    "OpeningBalanceFlagAppliedName": "",
                    "ToolTip": "\n Is on Inputs.Short term forecast={,,10000,10000,10000,,10000,,10000,,,,,,,,,,,,,,,,,,,,,,,,,,,,,,,,,,,,,,,,,,,,,,,,,,,,} (GBP)",
                    "Deletable": true,
                    "Comment": "",
                    "HasSwitchSignLine": false,
                    "SwitchSignForReport": false,
                    "MultipleInputValues": {
                      "$type": "System.Collections.Generic.List`1[[ModelMaker.DimensionedArrayValues, ModelMaker]], mscorlib",
                      "$values": [
                        {
                          "$id": "349",
                          "$type": "ModelMaker.DimensionedArrayValues, ModelMaker",
                          "Elements": {
                            "$type": "ModelMakerEngine.MMElements, ModelMakerEngine",
                            "$values": []
                          },
                          "Values": {
                            "$type": "System.Collections.Generic.List`1[[System.Object, mscorlib]], mscorlib",
                            "$values": [
                              "",
                              "",
                              "10000",
                              "10000",
                              "10000",
                              "",
                              "10000",
                              "",
                              "10000",
                              "",
                              "",
                              "",
                              "",
                              "",
                              "",
                              "",
                              "",
                              "",
                              "",
                              "",
                              "",
                              "",
                              "",
                              "",
                              "",
                              "",
                              "",
                              "",
                              "",
                              "",
                              "",
                              "",
                              "",
                              "",
                              "",
                              "",
                              "",
                              "",
                              "",
                              "",
                              "",
                              "",
                              "",
                              "",
                              "",
                              "",
                              "",
                              "",
                              "",
                              "",
                              "",
                              "",
                              "",
                              "",
                              "",
                              "",
                              "",
                              "",
                              "",
                              "",
                              ""
                            ]
                          }
                        }
                      ]
                    },
                    "NonPrimaryInput": false,
                    "Max": "NaN",
                    "Min": "NaN",
                    "IsBalanceButNotCorkscrew": false,
                    "IsEditable": true,
                    "IsConstant": false,
                    "UniqueID": "f67aa351-1f21-4c64-95ab-f73f5579253d",
                    "Dimensions": {
                      "$type": "ModelMakerEngine.MMDimensions, ModelMakerEngine",
                      "$values": []
                    },
                    "EquationOBXInternal": "{,,10000,10000,10000,,10000,,10000,,,,,,,,,,,,,,,,,,,,,,,,,,,,,,,,,,,,,,,,,,,,,,,,,,,,}",
                    "NameOfGroup": "Inputs.Short term forecast",
                    "EquationToParse": "{,,10000,10000,10000,,10000,,10000,,,,,,,,,,,,,,,,,,,,,,,,,,,,,,,,,,,,,,,,,,,,,,,,,,,,}",
                    "MostRecentExpectedUnitErrors": null,
                    "Units": {
                      "$ref": "11"
                    },
                    "Name": "STF Units ordered",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"350",
                    "$type": "ModelMaker.VariableNode, ModelMaker",
                    "RowTotalDependent": null,
                    "PutCalculationOnReport": false,
                    "CalculateOnThisReport": null,
                    "PivotTableLink": null,
                    "NumberFormatOverride": null,
                    "HasOpeningBalanceFlag": false,
                    "OpeningBalanceFlagAppliedName": "",
                    "ToolTip": "\n Is on Inputs.Short term forecast={1000,1000,1000,1000,3000,3000,3000,5000,5000,5000,5000,5000,,,,,,,,,,,,,,,,,,,,,,,,,,,,,,,,,,,,,,,,,,,,,,,,,} (GBP)",
                    "Deletable": true,
                    "Comment": "",
                    "HasSwitchSignLine": false,
                    "SwitchSignForReport": false,
                    "MultipleInputValues": {
                      "$type": "System.Collections.Generic.List`1[[ModelMaker.DimensionedArrayValues, ModelMaker]], mscorlib",
                      "$values": [
                        {
                          "$id": "351",
                          "$type": "ModelMaker.DimensionedArrayValues, ModelMaker",
                          "Elements": {
                            "$type": "ModelMakerEngine.MMElements, ModelMakerEngine",
                            "$values": []
                          },
                          "Values": {
                            "$type": "System.Collections.Generic.List`1[[System.Object, mscorlib]], mscorlib",
                            "$values": [
                              "1000",
                              "1000",
                              "1000",
                              "1000",
                              "3000",
                              "3000",
                              "3000",
                              "5000",
                              "5000",
                              "5000",
                              "5000",
                              "5000",
                              "",
                              "",
                              "",
                              "",
                              "",
                              "",
                              "",
                              "",
                              "",
                              "",
                              "",
                              "",
                              "",
                              "",
                              "",
                              "",
                              "",
                              "",
                              "",
                              "",
                              "",
                              "",
                              "",
                              "",
                              "",
                              "",
                              "",
                              "",
                              "",
                              "",
                              "",
                              "",
                              "",
                              "",
                              "",
                              "",
                              "",
                              "",
                              "",
                              "",
                              "",
                              "",
                              "",
                              "",
                              "",
                              "",
                              "",
                              "",
                              ""
                            ]
                          }
                        }
                      ]
                    },
                    "NonPrimaryInput": false,
                    "Max": "NaN",
                    "Min": "NaN",
                    "IsBalanceButNotCorkscrew": false,
                    "IsEditable": true,
                    "IsConstant": false,
                    "UniqueID": "2bf33ba6-4b97-4353-89b5-359dfb1e01a0",
                    "Dimensions": {
                      "$type": "ModelMakerEngine.MMDimensions, ModelMakerEngine",
                      "$values": []
                    },
                    "EquationOBXInternal": "{1000,1000,1000,1000,3000,3000,3000,5000,5000,5000,5000,5000,,,,,,,,,,,,,,,,,,,,,,,,,,,,,,,,,,,,,,,,,,,,,,,,,}",
                    "NameOfGroup": "Inputs.Short term forecast",
                    "EquationToParse": "{1000,1000,1000,1000,3000,3000,3000,5000,5000,5000,5000,5000,,,,,,,,,,,,,,,,,,,,,,,,,,,,,,,,,,,,,,,,,,,,,,,,,}",
                    "MostRecentExpectedUnitErrors": null,
                    "Units": {
                      "$ref": "11"
                    },
                    "Name": "STF New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"352",
                    "$type": "ModelMaker.VariableNode, ModelMaker",
                    "RowTotalDependent": null,
                    "PutCalculationOnReport": false,
                    "CalculateOnThisReport": null,
                    "PivotTableLink": null,
                    "NumberFormatOverride": null,
                    "HasOpeningBalanceFlag": false,
                    "OpeningBalanceFlagAppliedName": "",
                    "ToolTip": "\n Is on Inputs.Short term forecast{45413,,,,,,,}",
                    "Deletable": true,
                    "Comment": "",
                    "HasSwitchSignLine": false,
                    "SwitchSignForReport": false,
                    "MultipleInputValues": {
                      "$type": "System.Collections.Generic.List`1[[ModelMaker.DimensionedArrayValues, ModelMaker]], mscorlib",
                      "$values": [
                        {
                          "$id": "353",
                          "$type": "ModelMaker.DimensionedArrayValues, ModelMaker",
                          "Elements": {
                            "$type": "ModelMakerEngine.MMElements, ModelMakerEngine",
                            "$values": []
                          },
                          "Values": {
                            "$type": "System.Collections.Generic.List`1[[System.Object, mscorlib]], mscorlib",
                            "$values": [
                              45413.0,
                              null,
                              null,
                              null,
                              null,
                              null,
                              null,
                              null
                            ]
                          }
                        }
                      ]
                    },
                    "NonPrimaryInput": false,
                    "Max": "NaN",
                    "Min": "NaN",
                    "IsBalanceButNotCorkscrew": false,
                    "IsEditable": true,
                    "IsConstant": true,
                    "UniqueID": "0b8535fd-9bd6-42c5-bc06-0878c0f21eb5",
                    "Dimensions": {
                      "$type": "ModelMakerEngine.MMDimensions, ModelMakerEngine",
                      "$values": []
                    },
                    "EquationOBXInternal": "{45413,,,,,,,}",
                    "NameOfGroup": "Inputs.Short term forecast",
                    "EquationToParse": "{45413,,,,,,,}",
                    "MostRecentExpectedUnitErrors": null,
                    "Units": {
                      "$id": "354",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"355",
        "$type": "ModelMaker.GroupNode, ModelMaker",
        "TabOrHeaderColour": "",
        "Comment": "",
        "NameOfGroup": null,
        "YPosition": 0,
        "Folded": false,
        "Font": null,
        "Children": {
          "$type": "ModelMaker.GroupNodeChildCollection, ModelMaker",
          "$values": [
            {
              "$id": "356",
              "$type": "ModelMaker.VariableNode, ModelMaker",
              "RowTotalDependent": null,
              "PutCalculationOnReport": false,
              "CalculateOnThisReport": null,
              "PivotTableLink": null,
              "NumberFormatOverride": null,
              "HasOpeningBalanceFlag": false,
              "OpeningBalanceFlagAppliedName": "",
              "ToolTip": "\n Is on TimeIF([Period number] = 1,[Start date],EDATE(PREVIOUSVALUE(), [Months per period]))",
              "Deletable": false,
              "Comment": "",
              "HasSwitchSignLine": false,
              "SwitchSignForReport": false,
              "MultipleInputValues": null,
              "NonPrimaryInput": false,
              "Max": "NaN",
              "Min": "NaN",
              "IsBalanceButNotCorkscrew": false,
              "IsEditable": true,
              "IsConstant": false,
              "UniqueID": "6dbdbb21-c16b-4813-bb7d-f7bced9075c3",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"357",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"358",
              "$type": "ModelMaker.GroupNode, ModelMaker",
              "TabOrHeaderColour": "",
              "Comment": "",
              "NameOfGroup": "Time",
              "YPosition": 1,
              "Folded": true,
              "Font": null,
              "Children": {
                "$type": "ModelMaker.GroupNodeChildCollection, ModelMaker",
                "$values": [
                  {
                    "$id": "359",
                    "$type": "ModelMaker.VariableNode, ModelMaker",
                    "RowTotalDependent": null,
                    "PutCalculationOnReport": false,
                    "CalculateOnThisReport": null,
                    "PivotTableLink": null,
                    "NumberFormatOverride": null,
                    "HasOpeningBalanceFlag": false,
                    "OpeningBalanceFlagAppliedName": "",
                    "ToolTip": "\n Is on Time.HeadersEDATE([Model period start], [Months per period]) - 1",
                    "Deletable": false,
                    "Comment": "",
                    "HasSwitchSignLine": false,
                    "SwitchSignForReport": false,
                    "MultipleInputValues": null,
                    "NonPrimaryInput": false,
                    "Max": "NaN",
                    "Min": "NaN",
                    "IsBalanceButNotCorkscrew": false,
                    "IsEditable": true,
                    "IsConstant": false,
                    "UniqueID": "01365c33-d169-43ee-bb20-e68d132d6ea4",
                    "Dimensions": {
                      "$type": "ModelMakerEngine.MMDimensions, ModelMakerEngine",
                      "$values": []
                    },
                    "EquationOBXInternal": "EDATE([Model period start], [Months per period]) - 1",
                    "NameOfGroup": "Time.Headers",
                    "EquationToParse": "EDATE([Model period start], [Months per period]) - 1",
                    "MostRecentExpectedUnitErrors": null,
                    "Units": {
                      "$id": "360",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"361",
                    "$type": "ModelMaker.VariableNode, ModelMaker",
                    "RowTotalDependent": null,
                    "PutCalculationOnReport": false,
                    "CalculateOnThisReport": null,
                    "PivotTableLink": null,
                    "NumberFormatOverride": null,
                    "HasOpeningBalanceFlag": false,
                    "OpeningBalanceFlagAppliedName": "",
                    "ToolTip": "\n Is on Time.Headers=\"Month\" & [Period number] (GBP)",
                    "Deletable": true,
                    "Comment": "",
                    "HasSwitchSignLine": false,
                    "SwitchSignForReport": false,
                    "MultipleInputValues": null,
                    "NonPrimaryInput": false,
                    "Max": "NaN",
                    "Min": "NaN",
                    "IsBalanceButNotCorkscrew": false,
                    "IsEditable": true,
                    "IsConstant": false,
                    "UniqueID": "f6c38cfe-0142-485e-9c3d-8dc9f9c5fc77",
                    "Dimensions": {
                      "$type": "ModelMakerEngine.MMDimensions, ModelMakerEngine",
                      "$values": []
                    },
                    "EquationOBXInternal": "\"Month\" & [Period number]",
                    "NameOfGroup": "Time.Headers",
                    "EquationToParse": "\"Month\" & [Period number]",
                    "MostRecentExpectedUnitErrors": null,
                    "Units": {
                      "$ref": "11"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"362",
                    "$type": "ModelMaker.VariableNode, ModelMaker",
                    "RowTotalDependent": null,
                    "PutCalculationOnReport": false,
                    "CalculateOnThisReport": null,
                    "PivotTableLink": null,
                    "NumberFormatOverride": null,
                    "HasOpeningBalanceFlag": false,
                    "OpeningBalanceFlagAppliedName": "",
                    "ToolTip": "\n Is on Time.Headers",
                    "Deletable": true,
                    "Comment": "",
                    "HasSwitchSignLine": false,
                    "SwitchSignForReport": false,
                    "MultipleInputValues": null,
                    "NonPrimaryInput": false,
                    "Max": "NaN",
                    "Min": "NaN",
                    "IsBalanceButNotCorkscrew": false,
                    "IsEditable": true,
                    "IsConstant": false,
                    "UniqueID": "443e7f98-1261-4e16-ac2e-dc79fbee8646",
                    "Dimensions": {
                      "$type": "ModelMakerEngine.MMDimensions, ModelMakerEngine",
                      "$values": []
                    },
                    "EquationOBXInternal": null,
                    "NameOfGroup": "Time.Headers",
                    "EquationToParse": "",
                    "MostRecentExpectedUnitErrors": null,
                    "Units": {
                      "$id": "363",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"364",
                    "$type": "ModelMaker.VariableNode, ModelMaker",
                    "RowTotalDependent": null,
                    "PutCalculationOnReport": false,
                    "CalculateOnThisReport": null,
                    "PivotTableLink": null,
                    "NumberFormatOverride": null,
                    "HasOpeningBalanceFlag": false,
                    "OpeningBalanceFlagAppliedName": "",
                    "ToolTip": "\n Is on Time.Headers=PREVIOUSVALUE()+1 (Counter)",
                    "Deletable": false,
                    "Comment": "",
                    "HasSwitchSignLine": false,
                    "SwitchSignForReport": false,
                    "MultipleInputValues": null,
                    "NonPrimaryInput": false,
                    "Max": "NaN",
                    "Min": "NaN",
                    "IsBalanceButNotCorkscrew": false,
                    "IsEditable": true,
                    "IsConstant": false,
                    "UniqueID": "9af3abcb-75ec-4678-ae32-36409629c5ce",
                    "Dimensions": {
                      "$type": "ModelMakerEngine.MMDimensions, ModelMakerEngine",
                      "$values": []
                    },
                    "EquationOBXInternal": "PREVIOUSVALUE()+1",
                    "NameOfGroup": "Time.Headers",
                    "EquationToParse": "PREVIOUSVALUE()+1",
                    "MostRecentExpectedUnitErrors": null,
                    "Units": {
                      "$id": "365",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"366",
              "$type": "ModelMaker.GroupNode, ModelMaker",
              "TabOrHeaderColour": "",
              "Comment": "",
              "NameOfGroup": "Time",
              "YPosition": 2,
              "Folded": false,
              "Font": null,
              "Children": {
                "$type": "ModelMaker.GroupNodeChildCollection, ModelMaker",
                "$values": [
                  {
                    "$id": "367",
                    "$type": "ModelMaker.VariableNode, ModelMaker",
                    "RowTotalDependent": null,
                    "PutCalculationOnReport": false,
                    "CalculateOnThisReport": null,
                    "PivotTableLink": null,
                    "NumberFormatOverride": null,
                    "HasOpeningBalanceFlag": false,
                    "OpeningBalanceFlagAppliedName": "",
                    "ToolTip": "\n Is on Time.Customer Order Growth index=IF([Start date]<[Model period end],1,0) (flag)",
                    "Deletable": true,
                    "Comment": "",
                    "HasSwitchSignLine": false,
                    "SwitchSignForReport": false,
                    "MultipleInputValues": null,
                    "NonPrimaryInput": false,
                    "Max": "NaN",
                    "Min": "NaN",
                    "IsBalanceButNotCorkscrew": false,
                    "IsEditable": true,
                    "IsConstant": false,
                    "UniqueID": "94abb7ee-bf0b-4289-8d66-cc2b4a620878",
                    "Dimensions": {
                      "$type": "ModelMakerEngine.MMDimensions, ModelMakerEngine",
                      "$values": []
                    },
                    "EquationOBXInternal": "IF([Start date]<[Model period end],1,0)",
                    "NameOfGroup": "Time.Customer Order Growth index",
                    "EquationToParse": "IF([Start date]<[Model period end],1,0)",
                    "MostRecentExpectedUnitErrors": null,
                    "Units": {
                      "$id": "36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9",
                    "$type": "ModelMaker.VariableNode, ModelMaker",
                    "RowTotalDependent": null,
                    "PutCalculationOnReport": false,
                    "CalculateOnThisReport": null,
                    "PivotTableLink": null,
                    "NumberFormatOverride": null,
                    "HasOpeningBalanceFlag": false,
                    "OpeningBalanceFlagAppliedName": "",
                    "ToolTip": "\n Is on Time.Customer Order Growth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81318b4a-ad7e-499a-942b-d63bf962ad96",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37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1",
                    "$type": "ModelMaker.VariableNode, ModelMaker",
                    "RowTotalDependent": null,
                    "PutCalculationOnReport": false,
                    "CalculateOnThisReport": null,
                    "PivotTableLink": null,
                    "NumberFormatOverride": null,
                    "HasOpeningBalanceFlag": false,
                    "OpeningBalanceFlagAppliedName": "",
                    "ToolTip": "\n Is on Time.Customer Order Growth index=[Period number]*[First Customer Order Growth escalation flag] ()",
                    "Deletable": true,
                    "Comment": "",
                    "HasSwitchSignLine": false,
                    "SwitchSignForReport": false,
                    "MultipleInputValues": null,
                    "NonPrimaryInput": false,
                    "Max": "NaN",
                    "Min": "NaN",
                    "IsBalanceButNotCorkscrew": false,
                    "IsEditable": true,
                    "IsConstant": false,
                    "UniqueID": "ce84fea3-99e8-46b9-9827-bdf4a9cd9859",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37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3",
                    "$type": "ModelMaker.VariableNode, ModelMaker",
                    "RowTotalDependent": null,
                    "PutCalculationOnReport": false,
                    "CalculateOnThisReport": null,
                    "PivotTableLink": null,
                    "NumberFormatOverride": null,
                    "HasOpeningBalanceFlag": false,
                    "OpeningBalanceFlagAppliedName": "",
                    "ToolTip": "\n Is on Time.Customer Order Growth index=SUM(ALLVALUES([First Customer Order Growth escalation period])) ()",
                    "Deletable": true,
                    "Comment": "",
                    "HasSwitchSignLine": false,
                    "SwitchSignForReport": false,
                    "MultipleInputValues": null,
                    "NonPrimaryInput": false,
                    "Max": "NaN",
                    "Min": "NaN",
                    "IsBalanceButNotCorkscrew": false,
                    "IsEditable": true,
                    "IsConstant": false,
                    "UniqueID": "e4cf47be-4559-4e8f-8c48-cf1b680e58cd",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3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5",
                    "$type": "ModelMaker.VariableNode, ModelMaker",
                    "RowTotalDependent": null,
                    "PutCalculationOnReport": false,
                    "CalculateOnThisReport": null,
                    "PivotTableLink": null,
                    "NumberFormatOverride": null,
                    "HasOpeningBalanceFlag": false,
                    "OpeningBalanceFlagAppliedName": "",
                    "ToolTip": "\n Is on Time.Customer Order Growth index=IF(MOD([Period number]-[Period of first Customer Order Growth escalation],[Customer Order Growth escalation frequency]/[Months per period])=0,1,0)*[Customer Order Growth escalation duration flag] (flag)",
                    "Deletable": true,
                    "Comment": "",
                    "HasSwitchSignLine": false,
                    "SwitchSignForReport": false,
                    "MultipleInputValues": null,
                    "NonPrimaryInput": false,
                    "Max": "NaN",
                    "Min": "NaN",
                    "IsBalanceButNotCorkscrew": false,
                    "IsEditable": true,
                    "IsConstant": false,
                    "UniqueID": "8c73b102-5ce7-4027-806e-b7076c08071d",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37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7",
                    "$type": "ModelMaker.VariableNode, ModelMaker",
                    "RowTotalDependent": null,
                    "PutCalculationOnReport": false,
                    "CalculateOnThisReport": null,
                    "PivotTableLink": null,
                    "NumberFormatOverride": null,
                    "HasOpeningBalanceFlag": false,
                    "OpeningBalanceFlagAppliedName": "",
                    "ToolTip": "\n Is on Time.Customer Order Growth indexDATE(YEAR([Model period end]),MONTH([Model period end]),DAY([Start date]))*[Customer Order Growth escalation step up frequency flag]",
                    "Deletable": true,
                    "Comment": "",
                    "HasSwitchSignLine": false,
                    "SwitchSignForReport": false,
                    "MultipleInputValues": null,
                    "NonPrimaryInput": false,
                    "Max": "NaN",
                    "Min": "NaN",
                    "IsBalanceButNotCorkscrew": false,
                    "IsEditable": true,
                    "IsConstant": false,
                    "UniqueID": "5219cde2-82c5-46bc-a19f-1256c5235b08",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3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9",
                    "$type": "ModelMaker.VariableNode, ModelMaker",
                    "RowTotalDependent": null,
                    "PutCalculationOnReport": false,
                    "CalculateOnThisReport": null,
                    "PivotTableLink": null,
                    "NumberFormatOverride": null,
                    "HasOpeningBalanceFlag": false,
                    "OpeningBalanceFlagAppliedName": "",
                    "ToolTip": "\n Is on Time.Customer Order Growth index=YEARFRAC([Start date],[Day in period Customer Order Growth escalation occurs],1)*[Customer Order Growth escalation step up frequency flag] ()",
                    "Deletable": true,
                    "Comment": "",
                    "HasSwitchSignLine": false,
                    "SwitchSignForReport": false,
                    "MultipleInputValues": null,
                    "NonPrimaryInput": false,
                    "Max": "NaN",
                    "Min": "NaN",
                    "IsBalanceButNotCorkscrew": false,
                    "IsEditable": true,
                    "IsConstant": false,
                    "UniqueID": "f7b24a82-80f7-4034-bfd8-e313ad0cb2e9",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38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1",
                    "$type": "ModelMaker.VariableNode, ModelMaker",
                    "RowTotalDependent": null,
                    "PutCalculationOnReport": false,
                    "CalculateOnThisReport": null,
                    "PivotTableLink": null,
                    "NumberFormatOverride": null,
                    "HasOpeningBalanceFlag": false,
                    "OpeningBalanceFlagAppliedName": "",
                    "ToolTip": "\n Is on Time.Customer Order Growth index=IF([Customer Order Growth escalation duration flag]=0,1,IF([Customer Order Growth escalation step up frequency flag]=1,(1+[Customer Order Growth annual start escalation rate])^[years since Customer Order Growth base date],PREVIOUSVALUE())) (index)",
                    "Deletable": true,
                    "Comment": "",
                    "HasSwitchSignLine": false,
                    "SwitchSignForReport": false,
                    "MultipleInputValues": null,
                    "NonPrimaryInput": false,
                    "Max": "NaN",
                    "Min": "NaN",
                    "IsBalanceButNotCorkscrew": false,
                    "IsEditable": true,
                    "IsConstant": false,
                    "UniqueID": "d3d049c0-c924-4f89-9f1a-7afb394e7260",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382",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3",
                    "$type": "ModelMaker.VariableNode, ModelMaker",
                    "RowTotalDependent": null,
                    "PutCalculationOnReport": false,
                    "CalculateOnThisReport": null,
                    "PivotTableLink": null,
                    "NumberFormatOverride": null,
                    "HasOpeningBalanceFlag": false,
                    "OpeningBalanceFlagAppliedName": "",
                    "ToolTip": "\n Is on Time.Customer Order Growth index=  (1 + [Customer Order Growth annual start escalation rate])^(1/[Months in year] )-1 (%)",
                    "Deletable": true,
                    "Comment": "",
                    "HasSwitchSignLine": false,
                    "SwitchSignForReport": false,
                    "MultipleInputValues": null,
                    "NonPrimaryInput": false,
                    "Max": "NaN",
                    "Min": "NaN",
                    "IsBalanceButNotCorkscrew": false,
                    "IsEditable": true,
                    "IsConstant": false,
                    "UniqueID": "afad79cc-f77a-42f5-a805-fcc6b9609c87",
                    "Dimensions": {
                      "$type": "ModelMakerEngine.MMDimensions, ModelMakerEngine",
                      "$values": []
                    },
                    "EquationOBXInternal": "  (1 + [Customer Order Growth annual start escalation rate])^(1/[Months in year] )-1",
                    "NameOfGroup": "Time.Customer Order Growth index",
                    "EquationToParse": "  (1 + [Customer Order Growth annual start escalation rate])^(1/[Months in year] )-1",
                    "MostRecentExpectedUnitErrors": null,
                    "Units": {
                      "$id": "38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Monthly Growth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5",
              "$type": "ModelMaker.GroupNode, ModelMaker",
              "TabOrHeaderColour": "",
              "Comment": "",
              "NameOfGroup": "Time",
              "YPosition": 3,
              "Folded": true,
              "Font": null,
              "Children": {
                "$type": "ModelMaker.GroupNodeChildCollection, ModelMaker",
                "$values": [
                  {
                    "$id": "38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Start date]<[Model period end],1,0) (flag)",
                    "Deletable": true,
                    "Comment": "",
                    "HasSwitchSignLine": false,
                    "SwitchSignForReport": false,
                    "MultipleInputValues": null,
                    "NonPrimaryInput": false,
                    "Max": "NaN",
                    "Min": "NaN",
                    "IsBalanceButNotCorkscrew": false,
                    "IsEditable": true,
                    "IsConstant": false,
                    "UniqueID": "daa85993-c013-48d1-b52b-a25d22a542d4",
                    "Dimensions": {
                      "$type": "ModelMakerEngine.MMDimensions, ModelMakerEngine",
                      "$values": []
                    },
                    "EquationOBXInternal": "IF([Start date]<[Model period end],1,0)",
                    "NameOfGroup": "Time.Fixed Operating Cost Growth Rate index",
                    "EquationToParse": "IF([Start date]<[Model period end],1,0)",
                    "MostRecentExpectedUnitErrors": null,
                    "Units": {
                      "$id": "38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0b531d11-36d1-461b-8389-00ab55d806f9",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38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Period number]*[First Fixed Operating Cost Growth Rate escalation flag] ()",
                    "Deletable": true,
                    "Comment": "",
                    "HasSwitchSignLine": false,
                    "SwitchSignForReport": false,
                    "MultipleInputValues": null,
                    "NonPrimaryInput": false,
                    "Max": "NaN",
                    "Min": "NaN",
                    "IsBalanceButNotCorkscrew": false,
                    "IsEditable": true,
                    "IsConstant": false,
                    "UniqueID": "870b47da-ab60-4cfc-a658-13f00a69c1b7",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39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2",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SUM(ALLVALUES([First Fixed Operating Cost Growth Rate escalation period])) ()",
                    "Deletable": true,
                    "Comment": "",
                    "HasSwitchSignLine": false,
                    "SwitchSignForReport": false,
                    "MultipleInputValues": null,
                    "NonPrimaryInput": false,
                    "Max": "NaN",
                    "Min": "NaN",
                    "IsBalanceButNotCorkscrew": false,
                    "IsEditable": true,
                    "IsConstant": false,
                    "UniqueID": "ca0ec402-9a69-4fef-b725-2e3a418581ca",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39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MOD([Period number]-[Period of first Fixed Operating Cost Growth Rate escalation],[Fixed Operating Cost Growth Rate escalation frequency]/[Months per period])=0,1,0)*[Fixed Operating Cost Growth Rate escalation duration flag] (flag)",
                    "Deletable": true,
                    "Comment": "",
                    "HasSwitchSignLine": false,
                    "SwitchSignForReport": false,
                    "MultipleInputValues": null,
                    "NonPrimaryInput": false,
                    "Max": "NaN",
                    "Min": "NaN",
                    "IsBalanceButNotCorkscrew": false,
                    "IsEditable": true,
                    "IsConstant": false,
                    "UniqueID": "2a138895-b7f5-48f9-b3b4-34fc575bb1d6",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395",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DATE(YEAR([Model period end]),MONTH([Model period end]),DAY([Start date]))*[Fixed Operating Cost Growth Rate escalation step up frequency flag]",
                    "Deletable": true,
                    "Comment": "",
                    "HasSwitchSignLine": false,
                    "SwitchSignForReport": false,
                    "MultipleInputValues": null,
                    "NonPrimaryInput": false,
                    "Max": "NaN",
                    "Min": "NaN",
                    "IsBalanceButNotCorkscrew": false,
                    "IsEditable": true,
                    "IsConstant": false,
                    "UniqueID": "f48b535b-986e-4585-b8e5-a132753b62a1",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39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YEARFRAC([Start date],[Day in period Fixed Operating Cost Growth Rate escalation occurs],1)*[Fixed Operating Cost Growth Rate escalation step up frequency flag] ()",
                    "Deletable": true,
                    "Comment": "",
                    "HasSwitchSignLine": false,
                    "SwitchSignForReport": false,
                    "MultipleInputValues": null,
                    "NonPrimaryInput": false,
                    "Max": "NaN",
                    "Min": "NaN",
                    "IsBalanceButNotCorkscrew": false,
                    "IsEditable": true,
                    "IsConstant": false,
                    "UniqueID": "6840dcab-f38b-4848-8006-ffff227d21f3",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3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Fixed Operating Cost Growth Rate escalation duration flag]=0,1,IF([Fixed Operating Cost Growth Rate escalation step up frequency flag]=1,(1+[Fixed Operating Cost Growth Rate annual start escalation rate])^[years since Fixed Operating Cost Growth Rate base date],PREVIOUSVALUE())) (index)",
                    "Deletable": true,
                    "Comment": "",
                    "HasSwitchSignLine": false,
                    "SwitchSignForReport": false,
                    "MultipleInputValues": null,
                    "NonPrimaryInput": false,
                    "Max": "NaN",
                    "Min": "NaN",
                    "IsBalanceButNotCorkscrew": false,
                    "IsEditable": true,
                    "IsConstant": false,
                    "UniqueID": "5f01f093-a03b-4bba-abfc-a38042fbf872",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401",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2",
              "$type": "ModelMaker.GroupNode, ModelMaker",
              "TabOrHeaderColour": "",
              "Comment": "",
              "NameOfGroup": "Time",
              "YPosition": 4,
              "Folded": true,
              "Font": null,
              "Children": {
                "$type": "ModelMaker.GroupNodeChildCollection, ModelMaker",
                "$values": [
                  {
                    "$id": "403",
                    "$type": "ModelMaker.VariableNode, ModelMaker",
                    "RowTotalDependent": null,
                    "PutCalculationOnReport": false,
                    "CalculateOnThisReport": null,
                    "PivotTableLink": null,
                    "NumberFormatOverride": null,
                    "HasOpeningBalanceFlag": false,
                    "OpeningBalanceFlagAppliedName": "",
                    "ToolTip": "\n Is on Time.Debts flags=IF(AND([Model period end]>=[Supply Chain Finance enabled beginning date],[Model period start]<=[Supply Chain Finance enabled end date]),1,0) (flag)",
                    "Deletable": true,
                    "Comment": "",
                    "HasSwitchSignLine": false,
                    "SwitchSignForReport": false,
                    "MultipleInputValues": null,
                    "NonPrimaryInput": false,
                    "Max": "NaN",
                    "Min": "NaN",
                    "IsBalanceButNotCorkscrew": false,
                    "IsEditable": true,
                    "IsConstant": false,
                    "UniqueID": "66588edb-d35e-4556-921a-360377ebb526",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40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5",
                    "$type": "ModelMaker.VariableNode, ModelMaker",
                    "RowTotalDependent": null,
                    "PutCalculationOnReport": false,
                    "CalculateOnThisReport": null,
                    "PivotTableLink": null,
                    "NumberFormatOverride": null,
                    "HasOpeningBalanceFlag": false,
                    "OpeningBalanceFlagAppliedName": "",
                    "ToolTip": "\n Is on Time.Debts flags=IF(AND([Model period end]>=[Invoice Finance Enabled beginning date],[Model period start]<=[Invoice Finance Enabled end date]),1,0) (flag)",
                    "Deletable": true,
                    "Comment": "",
                    "HasSwitchSignLine": false,
                    "SwitchSignForReport": false,
                    "MultipleInputValues": null,
                    "NonPrimaryInput": false,
                    "Max": "NaN",
                    "Min": "NaN",
                    "IsBalanceButNotCorkscrew": false,
                    "IsEditable": true,
                    "IsConstant": false,
                    "UniqueID": "fcf0ccdc-bec1-4539-bdb4-85166183410c",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40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07",
                    "$type": "ModelMaker.VariableNode, ModelMaker",
                    "RowTotalDependent": null,
                    "PutCalculationOnReport": false,
                    "CalculateOnThisReport": null,
                    "PivotTableLink": null,
                    "NumberFormatOverride": null,
                    "HasOpeningBalanceFlag": false,
                    "OpeningBalanceFlagAppliedName": "",
                    "ToolTip": "\n Is on Time.Debts flags=IF(AND([Model period end]>=[Asset Finance Enabled beginning date],[Model period start]<=[Asset Finance Enabled end date]),1,0) (flag)",
                    "Deletable": true,
                    "Comment": "",
                    "HasSwitchSignLine": false,
                    "SwitchSignForReport": false,
                    "MultipleInputValues": null,
                    "NonPrimaryInput": false,
                    "Max": "NaN",
                    "Min": "NaN",
                    "IsBalanceButNotCorkscrew": false,
                    "IsEditable": true,
                    "IsConstant": false,
                    "UniqueID": "171b0ba0-5f56-4592-a18d-af7f2d857c50",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40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09",
              "$type": "ModelMaker.GroupNode, ModelMaker",
              "TabOrHeaderColour": "",
              "Comment": "",
              "NameOfGroup": "Time",
              "YPosition": 5,
              "Folded": true,
              "Font": null,
              "Children": {
                "$type": "ModelMaker.GroupNodeChildCollection, ModelMaker",
                "$values": [
                  {
                    "$id": "410",
                    "$type": "ModelMaker.VariableNode, ModelMaker",
                    "RowTotalDependent": null,
                    "PutCalculationOnReport": false,
                    "CalculateOnThisReport": null,
                    "PivotTableLink": null,
                    "NumberFormatOverride": null,
                    "HasOpeningBalanceFlag": false,
                    "OpeningBalanceFlagAppliedName": "",
                    "ToolTip": "\n Is on Time.VAT return this period flag=IF(AND([Period number]>=[VAT return this period first period number constant],MOD([Period number],[VAT return this period every x periods])=[VAT return this period mod of period number]),1,0) (flag)",
                    "Deletable": true,
                    "Comment": "",
                    "HasSwitchSignLine": false,
                    "SwitchSignForReport": false,
                    "MultipleInputValues": null,
                    "NonPrimaryInput": false,
                    "Max": "NaN",
                    "Min": "NaN",
                    "IsBalanceButNotCorkscrew": false,
                    "IsEditable": true,
                    "IsConstant": false,
                    "UniqueID": "c3cc933a-df3e-4db3-ad5e-25515f2226aa",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"411",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"412",
                    "$type": "ModelMaker.VariableNode, ModelMaker",
                    "RowTotalDependent": null,
                    "PutCalculationOnReport": false,
                    "CalculateOnThisReport": null,
                    "PivotTableLink": null,
                    "NumberFormatOverride": null,
                    "HasOpeningBalanceFlag": false,
                    "OpeningBalanceFlagAppliedName": "",
                    "ToolTip": "\n Is on Time.VAT return this period flag=MOD([VAT return this period first period number constant],[VAT return this period every x periods]) ()",
                    "Deletable": true,
                    "Comment": "",
                    "HasSwitchSignLine": false,
                    "SwitchSignForReport": false,
                    "MultipleInputValues": null,
                    "NonPrimaryInput": false,
                    "Max": "NaN",
                    "Min": "NaN",
                    "IsBalanceButNotCorkscrew": false,
                    "IsEditable": true,
                    "IsConstant": false,
                    "UniqueID": "fcb901e7-3e8a-46b5-8586-d3be06c630f7",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"413",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"414",
                    "$type": "ModelMaker.VariableNode, ModelMaker",
                    "RowTotalDependent": null,
                    "PutCalculationOnReport": false,
                    "CalculateOnThisReport": null,
                    "PivotTableLink": null,
                    "NumberFormatOverride": null,
                    "HasOpeningBalanceFlag": false,
                    "OpeningBalanceFlagAppliedName": "",
                    "ToolTip": "\n Is on Time.VAT return this period flag=SUM(ALLVALUES([VAT return this period first period number])) ()",
                    "Deletable": true,
                    "Comment": "",
                    "HasSwitchSignLine": false,
                    "SwitchSignForReport": false,
                    "MultipleInputValues": null,
                    "NonPrimaryInput": false,
                    "Max": "NaN",
                    "Min": "NaN",
                    "IsBalanceButNotCorkscrew": false,
                    "IsEditable": true,
                    "IsConstant": false,
                    "UniqueID": "915ec971-817f-4a44-88c2-ec995a30ced3",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"415",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"416",
                    "$type": "ModelMaker.VariableNode, ModelMaker",
                    "RowTotalDependent": null,
                    "PutCalculationOnReport": false,
                    "CalculateOnThisReport": null,
                    "PivotTableLink": null,
                    "NumberFormatOverride": null,
                    "HasOpeningBalanceFlag": false,
                    "OpeningBalanceFlagAppliedName": "",
                    "ToolTip": "\n Is on Time.VAT return this period flag=[Period number]*[VAT return this period first period flag] ()",
                    "Deletable": true,
                    "Comment": "",
                    "HasSwitchSignLine": false,
                    "SwitchSignForReport": false,
                    "MultipleInputValues": null,
                    "NonPrimaryInput": false,
                    "Max": "NaN",
                    "Min": "NaN",
                    "IsBalanceButNotCorkscrew": false,
                    "IsEditable": true,
                    "IsConstant": false,
                    "UniqueID": "cf4b6bae-5bad-4e81-ab43-9d0ffdf16a0d",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"417",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"418",
                    "$type": "ModelMaker.VariableNode, ModelMaker",
                    "RowTotalDependent": null,
                    "PutCalculationOnReport": false,
                    "CalculateOnThisReport": null,
                    "PivotTableLink": null,
                    "NumberFormatOverride": null,
                    "HasOpeningBalanceFlag": false,
                    "OpeningBalanceFlagAppliedName": "",
                    "ToolTip": "\n Is on Time.VAT return this period flag=IF(AND([Model period end]>=[VAT return this period beginning date],[Model period start]<=[VAT return this period beginning date]),1,0) (flag)",
                    "Deletable": true,
                    "Comment": "",
                    "HasSwitchSignLine": false,
                    "SwitchSignForReport": false,
                    "MultipleInputValues": null,
                    "NonPrimaryInput": false,
                    "Max": "NaN",
                    "Min": "NaN",
                    "IsBalanceButNotCorkscrew": false,
                    "IsEditable": true,
                    "IsConstant": false,
                    "UniqueID": "7f351917-7947-42d9-a295-6e69be9677d0",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41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20",
              "$type": "ModelMaker.GroupNode, ModelMaker",
              "TabOrHeaderColour": "",
              "Comment": "",
              "NameOfGroup": "Time",
              "YPosition": 6,
              "Folded": false,
              "Font": null,
              "Children": {
                "$type": "ModelMaker.GroupNodeChildCollection, ModelMaker",
                "$values": [
                  {
                    "$id": "421",
                    "$type": "ModelMaker.VariableNode, ModelMaker",
                    "RowTotalDependent": null,
                    "PutCalculationOnReport": false,
                    "CalculateOnThisReport": null,
                    "PivotTableLink": null,
                    "NumberFormatOverride": null,
                    "HasOpeningBalanceFlag": false,
                    "OpeningBalanceFlagAppliedName": "",
                    "ToolTip": "\n Is on Time.Use short term forecast flag=IF([Model period start]>=[Use short term forecast flag end date],0,1) (flag)",
                    "Deletable": true,
                    "Comment": "",
                    "HasSwitchSignLine": false,
                    "SwitchSignForReport": false,
                    "MultipleInputValues": null,
                    "NonPrimaryInput": false,
                    "Max": "NaN",
                    "Min": "NaN",
                    "IsBalanceButNotCorkscrew": false,
                    "IsEditable": true,
                    "IsConstant": false,
                    "UniqueID": "47332ff5-97cb-4338-9066-b227905f6820",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"422",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"423",
        "$type": "ModelMaker.GroupNode, ModelMaker",
        "TabOrHeaderColour": "",
        "Comment": "",
        "NameOfGroup": "Model Checks and Alerts",
        "YPosition": 0,
        "Folded": true,
        "Font": null,
        "Children": {
          "$type": "ModelMaker.GroupNodeChildCollection, ModelMaker",
          "$values": [
            {
              "$id": "424",
              "$type": "ModelMaker.VariableNode, ModelMaker",
              "RowTotalDependent": null,
              "PutCalculationOnReport": false,
              "CalculateOnThisReport": null,
              "PivotTableLink": null,
              "NumberFormatOverride": null,
              "HasOpeningBalanceFlag": false,
              "OpeningBalanceFlagAppliedName": "",
              "ToolTip": "\n Is on Model Checks and Alerts.Model Checks=IF(ROUND(ABS([Net Assets] - [Shareholder Equity]),6)=0,0,1) (Check)",
              "Deletable": true,
              "Comment": "",
              "HasSwitchSignLine": false,
              "SwitchSignForReport": false,
              "MultipleInputValues": null,
              "NonPrimaryInput": false,
              "Max": "NaN",
              "Min": "NaN",
              "IsBalanceButNotCorkscrew": false,
              "IsEditable": true,
              "IsConstant": false,
              "UniqueID": "72d0b255-7906-495d-ada2-b5b6c5b5bc48",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"425",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"426",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"427",
        "$type": "ModelMaker.GroupNode, ModelMaker",
        "TabOrHeaderColour": "",
        "Comment": "",
        "NameOfGroup": null,
        "YPosition": 0,
        "Folded": false,
        "Font": null,
        "Children": {
          "$type": "ModelMaker.GroupNodeChildCollection, ModelMaker",
          "$values": [
            {
              "$ref": "423"
            },
            {
              "$ref": "426"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"199"
      },
      {
        "$ref": "358"
      },
      {
        "$ref": "364"
      },
      {
        "$ref": "195"
      },
      {
        "$ref": "356"
      },
      {
        "$ref": "359"
      },
      {
        "$ref": "197"
      },
      {
        "$ref": "361"
      },
      {
        "$ref": "239"
      },
      {
        "$ref": "213"
      },
      {
        "$ref": "242"
      },
      {
        "$id": "428",
        "$type": "ModelMaker.GroupNode, ModelMaker",
        "TabOrHeaderColour": "",
        "Comment": "",
        "NameOfGroup": null,
        "YPosition": 0,
        "Folded": false,
        "Font": null,
        "Children": {
          "$type": "ModelMaker.GroupNodeChildCollection, ModelMaker",
          "$values": [
            {
              "$ref": "154"
            },
            {
              "$ref": "117"
            },
            {
              "$id": "429",
              "$type": "ModelMaker.VariableNode, ModelMaker",
              "RowTotalDependent": null,
              "PutCalculationOnReport": false,
              "CalculateOnThisReport": null,
              "PivotTableLink": null,
              "NumberFormatOverride": null,
              "HasOpeningBalanceFlag": false,
              "OpeningBalanceFlagAppliedName": "",
              "ToolTip": "\n Is on Inventory=IF([Customer Orders Awaiting Fullfilment] + [Minimum quantity before reorder] - BEG([Units on order]) > 0,  FLOOR(([Customer Orders Awaiting Fullfilment] + [Minimum quantity before reorder]- BEG([Units on order])) / [Minimum supplier order quantity], 1) * [Minimum supplier order quantity], 0) (Units)",
              "Deletable": true,
              "Comment": "",
              "HasSwitchSignLine": false,
              "SwitchSignForReport": false,
              "MultipleInputValues": null,
              "NonPrimaryInput": false,
              "Max": "NaN",
              "Min": "NaN",
              "IsBalanceButNotCorkscrew": false,
              "IsEditable": true,
              "IsConstant": false,
              "UniqueID": "14b1ff89-5a0e-454e-8571-9b82d6b48b71",
              "Dimensions": {
                "$type": "ModelMakerEngine.MMDimensions, ModelMakerEngine",
                "$values": []
              },
              "EquationOBXInternal": "IF([Customer Orders Awaiting Fullfilment] + [Minimum quantity before reorder] - BEG([Units on order]) > 0,  FLOOR(([Customer Orders Awaiting Fullfilment] + [Minimum quantity before reorder]- BEG([Units on order])) / [Minimum supplier order quantity], 1) * [Minimum supplier order quantity], 0)",
              "NameOfGroup": "Inventory",
              "EquationToParse": "IF([Customer Orders Awaiting Fullfilment] + [Minimum quantity before reorder] - [Units on order!!BEG] > 0,  FLOOR(([Customer Orders Awaiting Fullfilment] + [Minimum quantity before reorder]- [Units on order!!BEG]) / [Minimum supplier order quantity], 1) * [Minimum supplier order quantity], 0)",
              "MostRecentExpectedUnitErrors": null,
              "Units": {
                "$id": "430",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"95"
            },
            {
              "$ref": "112"
            },
            {
              "$ref": "111"
            },
            {
              "$ref": "124"
            },
            {
              "$ref": "120"
            },
            {
              "$ref": "129"
            },
            {
              "$ref": "121"
            },
            {
              "$ref": "132"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"129"
      },
      {
        "$ref": "232"
      },
      {
        "$ref": "111"
      },
      {
        "$ref": "120"
      },
      {
        "$ref": "95"
      },
      {
        "$ref": "112"
      },
      {
        "$ref": "117"
      },
      {
        "$ref": "124"
      },
      {
        "$id": "431",
        "$type": "ModelMaker.GroupNode, ModelMaker",
        "TabOrHeaderColour": "",
        "Comment": "",
        "NameOfGroup": null,
        "YPosition": 0,
        "Folded": false,
        "Font": null,
        "Children": {
          "$type": "ModelMaker.GroupNodeChildCollection, ModelMaker",
          "$values": [
            {
              "$ref": "100"
            },
            {
              "$ref": "106"
            },
            {
              "$ref": "107"
            },
            {
              "$ref": "103"
            },
            {
              "$id": "432",
              "$type": "ModelMaker.VariableNode, ModelMaker",
              "RowTotalDependent": null,
              "PutCalculationOnReport": false,
              "CalculateOnThisReport": null,
              "PivotTableLink": null,
              "NumberFormatOverride": null,
              "HasOpeningBalanceFlag": false,
              "OpeningBalanceFlagAppliedName": "",
              "ToolTip": "\n Is on Customers=([New customer orders]+[Renewing Customer Orders]) * [Sales Price Unit] * [Contract Length] (GBP)",
              "Deletable": true,
              "Comment": "",
              "HasSwitchSignLine": false,
              "SwitchSignForReport": false,
              "MultipleInputValues": null,
              "NonPrimaryInput": false,
              "Max": "NaN",
              "Min": "NaN",
              "IsBalanceButNotCorkscrew": false,
              "IsEditable": true,
              "IsConstant": false,
              "UniqueID": "814317e7-cd23-432f-a3f2-3db6730fb8a6",
              "Dimensions": {
                "$type": "ModelMakerEngine.MMDimensions, ModelMakerEngine",
                "$values": []
              },
              "EquationOBXInternal": "([New customer orders]+[Renewing Customer Orders]) * [Sales Price Unit] * [Contract Length]",
              "NameOfGroup": "Customers",
              "EquationToParse": "([New customer orders]+[Renewing Customer Orders]) * [Sales Price Unit] * [Contract Length]",
              "MostRecentExpectedUnitErrors": null,
              "Units": {
                "$id": "433",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"106"
      },
      {
        "$ref": "211"
      },
      {
        "$ref": "201"
      },
      {
        "$ref": "244"
      },
      {
        "$id": "434",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"257"
      },
      {
        "$ref": "253"
      },
      {
        "$ref": "255"
      },
      {
        "$ref": "100"
      },
      {
        "$ref": "107"
      },
      {
        "$ref": "216"
      },
      {
        "$ref": "218"
      },
      {
        "$ref": "7"
      },
      {
        "$id": "435",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"436",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"186"
      },
      {
        "$ref": "269"
      },
      {
        "$ref": "146"
      },
      {
        "$ref": "41"
      },
      {
        "$ref": "55"
      },
      {
        "$ref": "94"
      },
      {
        "$ref": "266"
      },
      {
        "$id": "437",
        "$type": "ModelMaker.GroupNode, ModelMaker",
        "TabOrHeaderColour": "",
        "Comment": "",
        "NameOfGroup": null,
        "YPosition": 0,
        "Folded": false,
        "Font": null,
        "Children": {
          "$type": "ModelMaker.GroupNodeChildCollection, ModelMaker",
          "$values": [
            {
              "$ref": "146"
            },
            {
              "$ref": "152"
            },
            {
              "$ref": "183"
            },
            {
              "$ref": "190"
            },
            {
              "$ref": "186"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"236"
      },
      {
        "$ref": "192"
      },
      {
        "$ref": "37"
      },
      {
        "$ref": "148"
      },
      {
        "$ref": "265"
      },
      {
        "$ref": "183"
      },
      {
        "$ref": "139"
      },
      {
        "$ref": "267"
      },
      {
        "$ref": "151"
      },
      {
        "$ref": "268"
      },
      {
        "$ref": "424"
      },
      {
        "$ref": "140"
      },
      {
        "$ref": "152"
      },
      {
        "$ref": "259"
      },
      {
        "$ref": "367"
      },
      {
        "$ref": "207"
      },
      {
        "$ref": "369"
      },
      {
        "$ref": "371"
      },
      {
        "$ref": "209"
      },
      {
        "$ref": "373"
      },
      {
        "$ref": "375"
      },
      {
        "$ref": "377"
      },
      {
        "$ref": "379"
      },
      {
        "$ref": "381"
      },
      {
        "$ref": "366"
      },
      {
        "$ref": "204"
      },
      {
        "$ref": "233"
      },
      {
        "$ref": "221"
      },
      {
        "$id": "438",
        "$type": "ModelMaker.GroupNode, ModelMaker",
        "TabOrHeaderColour": "",
        "Comment": "",
        "NameOfGroup": null,
        "YPosition": 0,
        "Folded": false,
        "Font": null,
        "Children": {
          "$type": "ModelMaker.GroupNodeChildCollection, ModelMaker",
          "$values": [
            {
              "$ref": "55"
            },
            {
              "$ref": "41"
            },
            {
              "$ref": "151"
            },
            {
              "$ref": "139"
            },
            {
              "$ref": "44"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"439",
        "$type": "ModelMaker.GroupNode, ModelMaker",
        "TabOrHeaderColour": "",
        "Comment": "",
        "NameOfGroup": null,
        "YPosition": 0,
        "Folded": false,
        "Font": null,
        "Children": {
          "$type": "ModelMaker.GroupNodeChildCollection, ModelMaker",
          "$values": [
            {
              "$ref": "140"
            },
            {
              "$ref": "7"
            },
            {
              "$ref": "148"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"440",
        "$type": "ModelMaker.GroupNode, ModelMaker",
        "TabOrHeaderColour": "",
        "Comment": "",
        "NameOfGroup": null,
        "YPosition": 0,
        "Folded": false,
        "Font": null,
        "Children": {
          "$type": "ModelMaker.GroupNodeChildCollection, ModelMaker",
          "$values": [
            {
              "$ref": "155"
            },
            {
              "$ref": "13"
            },
            {
              "$ref": "10"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
      },
      {
        "$ref": "103"
      },
      {
        "$ref": "10"
      },
      {
        "$ref": "432"
      },
      {
        "$ref": "230"
      },
      {
        "$ref": "223"
      },
      {
        "$ref": "386"
      },
      {
        "$ref": "226"
      },
      {
        "$ref": "388"
      },
      {
        "$ref": "390"
      },
      {
        "$ref": "228"
      },
      {
        "$ref": "392"
      },
      {
        "$ref": "394"
      },
      {
        "$ref": "396"
      },
      {
        "$ref": "398"
      },
      {
        "$ref": "400"
      },
      {
        "$ref": "385"
      },
      {
        "$ref": "44"
      },
      {
        "$ref": "247"
      },
      {
        "$ref": "224"
      },
      {
        "$ref": "202"
      },
      {
        "$ref": "271"
      },
      {
        "$ref": "273"
      },
      {
        "$ref": "296"
      },
      {
        "$ref": "294"
      },
      {
        "$ref": "158"
      },
      {
        "$ref": "60"
      },
      {
        "$ref": "63"
      },
      {
        "$ref": "159"
      },
      {
        "$ref": "19"
      },
      {
        "$ref": "78"
      },
      {
        "$id": "441",
        "$type": "ModelMaker.VariableNode, ModelMaker",
        "RowTotalDependent": null,
        "PutCalculationOnReport": false,
        "CalculateOnThisReport": null,
        "PivotTableLink": null,
        "NumberFormatOverride": null,
        "HasOpeningBalanceFlag": false,
        "OpeningBalanceFlagAppliedName": "",
        "ToolTip": "\n Is on Supply Chain finance=[All in Supply Chain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"d8123136-d257-44f3-8f64-82c0af1b7e9e",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"442",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"443",
        "$type": "ModelMaker.GroupNode, ModelMaker",
        "TabOrHeaderColour": "",
        "Comment": "",
        "NameOfGroup": null,
        "YPosition": 0,
        "Folded": false,
        "Font": null,
        "Children": {
          "$type": "ModelMaker.GroupNodeChildCollection, ModelMaker",
          "$values": [
            {
              "$ref": "158"
            },
            {
              "$ref": "60"
            },
            {
              "$ref": "63"
            },
            {
              "$ref": "159"
            },
            {
              "$ref": "19"
            },
            {
              "$ref": "78"
            },
            {
              "$ref": "441"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"270"
      },
      {
        "$ref": "298"
      },
      {
        "$ref": "264"
      },
      {
        "$ref": "163"
      },
      {
        "$ref": "66"
      },
      {
        "$ref": "69"
      },
      {
        "$ref": "164"
      },
      {
        "$ref": "22"
      },
      {
        "$ref": "81"
      },
      {
        "$id": "444",
        "$type": "ModelMaker.VariableNode, ModelMaker",
        "RowTotalDependent": null,
        "PutCalculationOnReport": false,
        "CalculateOnThisReport": null,
        "PivotTableLink": null,
        "NumberFormatOverride": null,
        "HasOpeningBalanceFlag": false,
        "OpeningBalanceFlagAppliedName": "",
        "ToolTip": "\n Is on Invoice finance=[All in Invoice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"21047692-d17f-42d8-8d9b-5ae31bf9f729",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"445",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"446",
        "$type": "ModelMaker.GroupNode, ModelMaker",
        "TabOrHeaderColour": "",
        "Comment": "",
        "NameOfGroup": null,
        "YPosition": 0,
        "Folded": false,
        "Font": null,
        "Children": {
          "$type": "ModelMaker.GroupNodeChildCollection, ModelMaker",
          "$values": [
            {
              "$ref": "163"
            },
            {
              "$ref": "66"
            },
            {
              "$ref": "69"
            },
            {
              "$ref": "164"
            },
            {
              "$ref": "22"
            },
            {
              "$ref": "81"
            },
            {
              "$ref": "444"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"282"
      },
      {
        "$ref": "284"
      },
      {
        "$ref": "286"
      },
      {
        "$ref": "287"
      },
      {
        "$ref": "275"
      },
      {
        "$ref": "53"
      },
      {
        "$ref": "58"
      },
      {
        "$ref": "87"
      },
      {
        "$id": "447",
        "$type": "ModelMaker.VariableNode, ModelMaker",
        "RowTotalDependent": null,
        "PutCalculationOnReport": false,
        "CalculateOnThisReport": null,
        "PivotTableLink": null,
        "NumberFormatOverride": null,
        "HasOpeningBalanceFlag": false,
        "OpeningBalanceFlagAppliedName": "",
        "ToolTip": "\n Is on Metrics=MIN( ALLVALUES([Cash])) (GBP)",
        "Deletable": true,
        "Comment": "",
        "HasSwitchSignLine": false,
        "SwitchSignForReport": false,
        "MultipleInputValues": null,
        "NonPrimaryInput": false,
        "Max": "NaN",
        "Min": "NaN",
        "IsBalanceButNotCorkscrew": false,
        "IsEditable": true,
        "IsConstant": false,
        "UniqueID": "31fe28bb-af91-436d-9bf4-04adb2925c2f",
        "Dimensions": {
          "$type": "ModelMakerEngine.MMDimensions, ModelMakerEngine",
          "$values": []
        },
        "EquationOBXInternal": "MIN( ALLVALUES([Cash]))",
        "NameOfGroup": "Unallocated",
        "EquationToParse": "MIN( ALLVALUES([Cash]))",
        "MostRecentExpectedUnitErrors": null,
        "Units": {
          "$ref": "11"
        },
        "Name": "Cash Low",
        "ReportLines": {
          "$type": "ModelMaker.UndoableCollection`1[[ModelMakerEngine.IReportLine, ModelMakerEngine]], ModelMaker.Undo",
          "$values": [
            {
              "$id": "448",
              "$type": "ModelMaker.ReportLine, ModelMaker",
              "ActualsItemName": null,
              "ActualsInput": null,
              "AssociatedSchematicNode": {
                "$ref": "447"
              },
              "OpeningBalanceFlagAppliedName": "",
              "SumOfAboveIncludesPreviousTotal": false,
              "LastNameUsed": null,
              "SwitchSignForReport": false,
              "IsSumOfAbove": false,
              "ParentReport": {
                "$id": "449",
                "$type": "ModelMaker.Report, ModelMaker",
                "TimeStep": 8,
                "YearEndBasis": 1002,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"$ref": "448"
                    }
                  ]
                },
                "YPosition": -1,
                "Name": "Metrics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"450",
        "$type": "ModelMaker.GroupNode, ModelMaker",
        "TabOrHeaderColour": "",
        "Comment": "",
        "NameOfGroup": null,
        "YPosition": 0,
        "Folded": false,
        "Font": null,
        "Children": {
          "$type": "ModelMaker.GroupNodeChildCollection, ModelMaker",
          "$values": [
            {
              "$ref": "447"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"451",
        "$type": "ModelMaker.GroupNode, ModelMaker",
        "TabOrHeaderColour": "",
        "Comment": "",
        "NameOfGroup": null,
        "YPosition": 0,
        "Folded": false,
        "Font": null,
        "Children": {
          "$type": "ModelMaker.GroupNodeChildCollection, ModelMaker",
          "$values": [
            {
              "$ref": "188"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"188"
      },
      {
        "$ref": "263"
      },
      {
        "$ref": "89"
      },
      {
        "$ref": "190"
      },
      {
        "$ref": "344"
      },
      {
        "$ref": "276"
      },
      {
        "$ref": "279"
      },
      {
        "$ref": "405"
      },
      {
        "$ref": "402"
      },
      {
        "$ref": "291"
      },
      {
        "$ref": "288"
      },
      {
        "$ref": "403"
      },
      {
        "$ref": "35"
      },
      {
        "$ref": "90"
      },
      {
        "$ref": "181"
      },
      {
        "$ref": "17"
      },
      {
        "$id": "452",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"362"
      },
      {
        "$id": "453",
        "$type": "ModelMaker.GroupNode, ModelMaker",
        "TabOrHeaderColour": "",
        "Comment": "",
        "NameOfGroup": null,
        "YPosition": 0,
        "Folded": false,
        "Font": null,
        "Children": {
          "$type": "ModelMaker.GroupNodeChildCollection, ModelMaker",
          "$values": [
            {
              "$ref": "2"
            },
            {
              "$ref": "94"
            },
            {
              "$ref": "136"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"136"
      },
      {
        "$ref": "262"
      },
      {
        "$ref": "250"
      },
      {
        "$ref": "2"
      },
      {
        "$ref": "168"
      },
      {
        "$ref": "72"
      },
      {
        "$ref": "75"
      },
      {
        "$ref": "169"
      },
      {
        "$ref": "25"
      },
      {
        "$ref": "84"
      },
      {
        "$id": "454",
        "$type": "ModelMaker.VariableNode, ModelMaker",
        "RowTotalDependent": null,
        "PutCalculationOnReport": false,
        "CalculateOnThisReport": null,
        "PivotTableLink": null,
        "NumberFormatOverride": null,
        "HasOpeningBalanceFlag": false,
        "OpeningBalanceFlagAppliedName": "",
        "ToolTip": "\n Is on Asset Finance=[All in Trade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"d4e49119-d098-41ea-a1ec-44dfae58a9b2",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"455",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"456",
        "$type": "ModelMaker.GroupNode, ModelMaker",
        "TabOrHeaderColour": "",
        "Comment": "",
        "NameOfGroup": null,
        "YPosition": 0,
        "Folded": false,
        "Font": null,
        "Children": {
          "$type": "ModelMaker.GroupNodeChildCollection, ModelMaker",
          "$values": [
            {
              "$ref": "168"
            },
            {
              "$ref": "72"
            },
            {
              "$ref": "75"
            },
            {
              "$ref": "169"
            },
            {
              "$ref": "25"
            },
            {
              "$ref": "84"
            },
            {
              "$ref": "454"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"407"
      },
      {
        "$ref": "316"
      },
      {
        "$ref": "313"
      },
      {
        "$ref": "310"
      },
      {
        "$ref": "307"
      },
      {
        "$ref": "304"
      },
      {
        "$ref": "301"
      },
      {
        "$ref": "300"
      },
      {
        "$ref": "15"
      },
      {
        "$ref": "409"
      },
      {
        "$ref": "410"
      },
      {
        "$ref": "412"
      },
      {
        "$ref": "319"
      },
      {
        "$ref": "414"
      },
      {
        "$ref": "322"
      },
      {
        "$ref": "416"
      },
      {
        "$ref": "418"
      },
      {
        "$id": "457",
        "$type": "ModelMaker.VariableNode, ModelMaker",
        "RowTotalDependent": null,
        "PutCalculationOnReport": false,
        "CalculateOnThisReport": null,
        "PivotTableLink": null,
        "NumberFormatOverride": null,
        "HasOpeningBalanceFlag": false,
        "OpeningBalanceFlagAppliedName": "",
        "ToolTip": "\n Is on VAT=[VAT on inventory] + [VAT on operating expense] (GBP)",
        "Deletable": true,
        "Comment": "",
        "HasSwitchSignLine": false,
        "SwitchSignForReport": false,
        "MultipleInputValues": null,
        "NonPrimaryInput": false,
        "Max": "NaN",
        "Min": "NaN",
        "IsBalanceButNotCorkscrew": false,
        "IsEditable": true,
        "IsConstant": false,
        "UniqueID": "a714258b-bdf4-4f48-ad1e-3c9a62328218",
        "Dimensions": {
          "$type": "ModelMakerEngine.MMDimensions, ModelMakerEngine",
          "$values": []
        },
        "EquationOBXInternal": "[VAT on inventory] + [VAT on operating expense]",
        "NameOfGroup": "VAT",
        "EquationToParse": "[VAT on inventory] + [VAT on operating expense]",
        "MostRecentExpectedUnitErrors": null,
        "Units": {
          "$id": "458",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"142"
      },
      {
        "$ref": "174"
      },
      {
        "$ref": "173"
      },
      {
        "$ref": "260"
      },
      {
        "$ref": "329"
      },
      {
        "$ref": "46"
      },
      {
        "$id": "459",
        "$type": "ModelMaker.VariableNode, ModelMaker",
        "RowTotalDependent": null,
        "PutCalculationOnReport": false,
        "CalculateOnThisReport": null,
        "PivotTableLink": null,
        "NumberFormatOverride": null,
        "HasOpeningBalanceFlag": false,
        "OpeningBalanceFlagAppliedName": "",
        "ToolTip": "\n Is on VAT=INT([VAT payment delay in months]/[Months per period]) (period)",
        "Deletable": true,
        "Comment": "",
        "HasSwitchSignLine": false,
        "SwitchSignForReport": false,
        "MultipleInputValues": null,
        "NonPrimaryInput": false,
        "Max": "NaN",
        "Min": "NaN",
        "IsBalanceButNotCorkscrew": false,
        "IsEditable": true,
        "IsConstant": true,
        "UniqueID": "d7151419-d67f-4f04-8f1f-9daabf707dfb",
        "Dimensions": {
          "$type": "ModelMakerEngine.MMDimensions, ModelMakerEngine",
          "$values": []
        },
        "EquationOBXInternal": "INT([VAT payment delay in months]/[Months per period])",
        "NameOfGroup": "VAT",
        "EquationToParse": "INT([VAT payment delay in months]/[Months per period])",
        "MostRecentExpectedUnitErrors": null,
        "Units": {
          "$id": "460",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"461",
        "$type": "ModelMaker.VariableNode, ModelMaker",
        "RowTotalDependent": null,
        "PutCalculationOnReport": false,
        "CalculateOnThisReport": null,
        "PivotTableLink": null,
        "NumberFormatOverride": null,
        "HasOpeningBalanceFlag": false,
        "OpeningBalanceFlagAppliedName": "",
        "ToolTip": "\n Is on VAT=[VAT return this period flag]* (BEG([VAT balance])+[VAT due]) (GBP)",
        "Deletable": true,
        "Comment": "",
        "HasSwitchSignLine": false,
        "SwitchSignForReport": false,
        "MultipleInputValues": null,
        "NonPrimaryInput": false,
        "Max": "NaN",
        "Min": "NaN",
        "IsBalanceButNotCorkscrew": false,
        "IsEditable": true,
        "IsConstant": false,
        "UniqueID": "e936da0b-a466-4a2b-afde-59e127c4ab18",
        "Dimensions": {
          "$type": "ModelMakerEngine.MMDimensions, ModelMakerEngine",
          "$values": []
        },
        "EquationOBXInternal": "[VAT return this period flag]* (BEG([VAT balance])+[VAT due])",
        "NameOfGroup": "VAT",
        "EquationToParse": "[VAT return this period flag]* ([VAT balance!!BEG]+[VAT due])",
        "MostRecentExpectedUnitErrors": null,
        "Units": {
          "$id": "462",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"463",
        "$type": "ModelMaker.GroupNode, ModelMaker",
        "TabOrHeaderColour": "",
        "Comment": "",
        "NameOfGroup": null,
        "YPosition": 0,
        "Folded": false,
        "Font": null,
        "Children": {
          "$type": "ModelMaker.GroupNodeChildCollection, ModelMaker",
          "$values": [
            {
              "$ref": "457"
            },
            {
              "$ref": "142"
            },
            {
              "$ref": "174"
            },
            {
              "$ref": "173"
            },
            {
              "$ref": "46"
            },
            {
              "$ref": "459"
            },
            {
              "$ref": "461"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"318"
      },
      {
        "$ref": "327"
      },
      {
        "$ref": "325"
      },
      {
        "$ref": "155"
      },
      {
        "$ref": "154"
      },
      {
        "$ref": "332"
      },
      {
        "$ref": "335"
      },
      {
        "$id": "464",
        "$type": "ModelMaker.VariableNode, ModelMaker",
        "RowTotalDependent": null,
        "PutCalculationOnReport": false,
        "CalculateOnThisReport": null,
        "PivotTableLink": null,
        "NumberFormatOverride": null,
        "HasOpeningBalanceFlag": false,
        "OpeningBalanceFlagAppliedName": "",
        "ToolTip": "\n Is on Corporation tax=[EBITDA] (GBP)",
        "Deletable": true,
        "Comment": "",
        "HasSwitchSignLine": false,
        "SwitchSignForReport": false,
        "MultipleInputValues": null,
        "NonPrimaryInput": false,
        "Max": "NaN",
        "Min": "NaN",
        "IsBalanceButNotCorkscrew": false,
        "IsEditable": true,
        "IsConstant": false,
        "UniqueID": "94164ac9-0122-4098-b6a7-7697772eb416",
        "Dimensions": {
          "$type": "ModelMakerEngine.MMDimensions, ModelMakerEngine",
          "$values": []
        },
        "EquationOBXInternal": "[EBITDA]",
        "NameOfGroup": "Corporation tax",
        "EquationToParse": "[EBITDA]",
        "MostRecentExpectedUnitErrors": null,
        "Units": {
          "$id": "465",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"466",
        "$type": "ModelMaker.VariableNode, ModelMaker",
        "RowTotalDependent": null,
        "PutCalculationOnReport": false,
        "CalculateOnThisReport": null,
        "PivotTableLink": null,
        "NumberFormatOverride": null,
        "HasOpeningBalanceFlag": false,
        "OpeningBalanceFlagAppliedName": "",
        "ToolTip": "\n Is on Corporation tax=MAX([Taxable income / (Tax losses arising)],0) (GBP)",
        "Deletable": true,
        "Comment": "",
        "HasSwitchSignLine": false,
        "SwitchSignForReport": false,
        "MultipleInputValues": null,
        "NonPrimaryInput": false,
        "Max": "NaN",
        "Min": "NaN",
        "IsBalanceButNotCorkscrew": false,
        "IsEditable": true,
        "IsConstant": false,
        "UniqueID": "cffa5480-4919-4900-8812-f175bf5ce171",
        "Dimensions": {
          "$type": "ModelMakerEngine.MMDimensions, ModelMakerEngine",
          "$values": []
        },
        "EquationOBXInternal": "MAX([Taxable income / (Tax losses arising)],0)",
        "NameOfGroup": "Corporation tax",
        "EquationToParse": "MAX([Taxable income / (Tax losses arising)],0)",
        "MostRecentExpectedUnitErrors": null,
        "Units": {
          "$id": "467",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"468",
        "$type": "ModelMaker.GroupNode, ModelMaker",
        "TabOrHeaderColour": "",
        "Comment": "",
        "NameOfGroup": "Corporation tax",
        "YPosition": 3,
        "Folded": true,
        "Font": null,
        "Children": {
          "$type": "ModelMaker.GroupNodeChildCollection, ModelMaker",
          "$values": [
            {
              "$id": "469",
              "$type": "ModelMaker.VariableNode, ModelMaker",
              "RowTotalDependent": null,
              "PutCalculationOnReport": false,
              "CalculateOnThisReport": null,
              "PivotTableLink": null,
              "NumberFormatOverride": null,
              "HasOpeningBalanceFlag": false,
              "OpeningBalanceFlagAppliedName": "",
              "ToolTip": "\n Is on Corporation tax.Tax losses=0-1*MIN([Taxable income / (Tax losses arising)],0) (GBP)",
              "Deletable": true,
              "Comment": "",
              "HasSwitchSignLine": false,
              "SwitchSignForReport": false,
              "MultipleInputValues": null,
              "NonPrimaryInput": false,
              "Max": "NaN",
              "Min": "NaN",
              "IsBalanceButNotCorkscrew": false,
              "IsEditable": true,
              "IsConstant": false,
              "UniqueID": "880e366b-9c4f-46b7-90be-aef8b3e46b36",
              "Dimensions": {
                "$type": "ModelMakerEngine.MMDimensions, ModelMakerEngine",
                "$values": []
              },
              "EquationOBXInternal": "0-1*MIN([Taxable income / (Tax losses arising)],0)",
              "NameOfGroup": "Corporation tax.Tax losses",
              "EquationToParse": "0-1*MIN([Taxable income / (Tax losses arising)],0)",
              "MostRecentExpectedUnitErrors": null,
              "Units": {
                "$id": "470",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"471",
              "$type": "ModelMaker.VariableNode, ModelMaker",
              "RowTotalDependent": null,
              "PutCalculationOnReport": false,
              "CalculateOnThisReport": null,
              "PivotTableLink": null,
              "NumberFormatOverride": null,
              "HasOpeningBalanceFlag": false,
              "OpeningBalanceFlagAppliedName": "",
              "ToolTip": "\n Is on Corporation tax.Tax losses=MIN([Taxable income],BEG([Tax losses carried forward balance])) (GBP)",
              "Deletable": true,
              "Comment": "",
              "HasSwitchSignLine": false,
              "SwitchSignForReport": false,
              "MultipleInputValues": null,
              "NonPrimaryInput": false,
              "Max": "NaN",
              "Min": "NaN",
              "IsBalanceButNotCorkscrew": false,
              "IsEditable": true,
              "IsConstant": false,
              "UniqueID": "3126d210-76be-416c-8e9a-49d0a65cced6",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"472",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"473",
              "$type": "ModelMaker.StockNode, ModelMaker",
              "OpeningOrActualsName": "",
              "InFlows": {
                "$type": "System.Collections.Generic.List`1[[ModelMakerEngine.IEquationNode, ModelMakerEngine]], mscorlib",
                "$values": [
                  {
                    "$ref": "469"
                  }
                ]
              },
              "OutFlows": {
                "$type": "System.Collections.Generic.List`1[[ModelMakerEngine.IEquationNode, ModelMakerEngine]], mscorlib",
                "$values": [
                  {
                    "$ref": "471"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"474",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tax.Tax losses=IF([Period number]=1,[Tax losses carried forward - initial balance],BEG()+[Tax losses arising]-[Tax losses utilised]) (GBP)",
              "Deletable": true,
              "Comment": "",
              "HasSwitchSignLine": false,
              "SwitchSignForReport": false,
              "MultipleInputValues": null,
              "NonPrimaryInput": false,
              "Max": "NaN",
              "Min": "NaN",
              "IsBalanceButNotCorkscrew": false,
              "IsEditable": true,
              "IsConstant": false,
              "UniqueID": "cc7a781a-fe27-430c-9c5e-ab049bd6a2e4",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"469"
      },
      {
        "$ref": "471"
      },
      {
        "$ref": "473"
      },
      {
        "$id": "475",
        "$type": "ModelMaker.VariableNode, ModelMaker",
        "RowTotalDependent": null,
        "PutCalculationOnReport": false,
        "CalculateOnThisReport": null,
        "PivotTableLink": null,
        "NumberFormatOverride": null,
        "HasOpeningBalanceFlag": false,
        "OpeningBalanceFlagAppliedName": "",
        "ToolTip": "\n Is on Corporation tax=[Taxable income]-[Tax losses utilised] (GBP)",
        "Deletable": true,
        "Comment": "",
        "HasSwitchSignLine": false,
        "SwitchSignForReport": false,
        "MultipleInputValues": null,
        "NonPrimaryInput": false,
        "Max": "NaN",
        "Min": "NaN",
        "IsBalanceButNotCorkscrew": false,
        "IsEditable": true,
        "IsConstant": false,
        "UniqueID": "51a58197-49d0-4df5-9492-f1984bf4180c",
        "Dimensions": {
          "$type": "ModelMakerEngine.MMDimensions, ModelMakerEngine",
          "$values": []
        },
        "EquationOBXInternal": "[Taxable income]-[Tax losses utilised]",
        "NameOfGroup": "Corporation tax",
        "EquationToParse": "[Taxable income]-[Tax losses utilised]",
        "MostRecentExpectedUnitErrors": null,
        "Units": {
          "$id": "476",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"338"
      },
      {
        "$ref": "31"
      },
      {
        "$ref": "193"
      },
      {
        "$ref": "28"
      },
      {
        "$id": "477",
        "$type": "ModelMaker.VariableNode, ModelMaker",
        "RowTotalDependent": null,
        "PutCalculationOnReport": false,
        "CalculateOnThisReport": null,
        "PivotTableLink": null,
        "NumberFormatOverride": null,
        "HasOpeningBalanceFlag": false,
        "OpeningBalanceFlagAppliedName": "",
        "ToolTip": "\n Is on Corporation taxIF(MONTH([Model period start])>[Month corporation tax paid], DATE(YEAR([Model period start])+1, [Month corporation tax paid],1), DATE(YEAR([Model period start]), [Month corporation tax paid],1))",
        "Deletable": true,
        "Comment": "",
        "HasSwitchSignLine": false,
        "SwitchSignForReport": false,
        "MultipleInputValues": null,
        "NonPrimaryInput": false,
        "Max": "NaN",
        "Min": "NaN",
        "IsBalanceButNotCorkscrew": false,
        "IsEditable": true,
        "IsConstant": false,
        "UniqueID": "6ecb17d5-5c85-49b0-833a-559f47c216e9",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"478",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"479",
        "$type": "ModelMaker.VariableNode, ModelMaker",
        "RowTotalDependent": null,
        "PutCalculationOnReport": false,
        "CalculateOnThisReport": null,
        "PivotTableLink": null,
        "NumberFormatOverride": null,
        "HasOpeningBalanceFlag": false,
        "OpeningBalanceFlagAppliedName": "",
        "ToolTip": "\n Is on Corporation tax=IF(AND([Date corporation tax paid this year]>=[Model period start],[Date corporation tax paid this year]<=[Model period end]),1,0) (flag)",
        "Deletable": true,
        "Comment": "",
        "HasSwitchSignLine": false,
        "SwitchSignForReport": false,
        "MultipleInputValues": null,
        "NonPrimaryInput": false,
        "Max": "NaN",
        "Min": "NaN",
        "IsBalanceButNotCorkscrew": false,
        "IsEditable": true,
        "IsConstant": false,
        "UniqueID": "f6a21e28-32b2-4972-b96e-0a7e86c1b4f2",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48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1",
        "$type": "ModelMaker.GroupNode, ModelMaker",
        "TabOrHeaderColour": "",
        "Comment": "",
        "NameOfGroup": "Corporation tax",
        "YPosition": 9,
        "Folded": true,
        "Font": null,
        "Children": {
          "$type": "ModelMaker.GroupNodeChildCollection, ModelMaker",
          "$values": [
            {
              "$ref": "49"
            },
            {
              "$ref": "178"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9"
      },
      {
        "$ref": "341"
      },
      {
        "$ref": "178"
      },
      {
        "$id": "482",
        "$type": "ModelMaker.VariableNode, ModelMaker",
        "RowTotalDependent": null,
        "PutCalculationOnReport": false,
        "CalculateOnThisReport": null,
        "PivotTableLink": null,
        "NumberFormatOverride": null,
        "HasOpeningBalanceFlag": false,
        "OpeningBalanceFlagAppliedName": "",
        "ToolTip": "\n Is on Corporation tax=SUM(ALLVALUES([Corporation tax]))/SUM(ALLVALUES([Profit before tax])) (%)",
        "Deletable": true,
        "Comment": "",
        "HasSwitchSignLine": false,
        "SwitchSignForReport": false,
        "MultipleInputValues": null,
        "NonPrimaryInput": false,
        "Max": "NaN",
        "Min": "NaN",
        "IsBalanceButNotCorkscrew": false,
        "IsEditable": true,
        "IsConstant": true,
        "UniqueID": "770c04ba-2cfc-4cf7-ac10-3615d46851a5",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48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84",
        "$type": "ModelMaker.GroupNode, ModelMaker",
        "TabOrHeaderColour": "",
        "Comment": "",
        "NameOfGroup": null,
        "YPosition": 0,
        "Folded": false,
        "Font": null,
        "Children": {
          "$type": "ModelMaker.GroupNodeChildCollection, ModelMaker",
          "$values": [
            {
              "$ref": "15"
            },
            {
              "$ref": "464"
            },
            {
              "$ref": "466"
            },
            {
              "$ref": "468"
            },
            {
              "$ref": "475"
            },
            {
              "$ref": "31"
            },
            {
              "$ref": "28"
            },
            {
              "$ref": "477"
            },
            {
              "$ref": "479"
            },
            {
              "$ref": "481"
            },
            {
              "$ref": "482"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31"
      },
      {
        "$ref": "345"
      },
      {
        "$ref": "421"
      },
      {
        "$ref": "352"
      },
      {
        "$ref": "420"
      },
      {
        "$ref": "132"
      },
      {
        "$ref": "248"
      },
      {
        "$ref": "121"
      },
      {
        "$ref": "350"
      },
      {
        "$ref": "348"
      },
      {
        "$ref": "346"
      },
      {
        "$ref": "429"
      },
      {
        "$ref": "383"
      }
    ]
  },
  "Reports": {
    "$type": "ModelMaker.UndoableCollection`1[[ModelMakerEngine.IReport, ModelMakerEngine]], ModelMaker.Undo",
    "$values": [
      {
        "$ref": "5"
      },
      {
        "$ref": "92"
      },
      {
        "$ref": "39"
      },
      {
        "$ref": "98"
      },
      {
        "$ref": "449"
      },
      {
        "$id": "485",
        "$type": "ModelMaker.Report, ModelMaker",
        "TimeStep": 5,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6",
        "$type": "ModelMaker.Report, ModelMaker",
        "TimeStep": 6,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7",
        "$type": "ModelMaker.Report, ModelMaker",
        "TimeStep": 7,
        "YearEndBasis": 0,
        "YearEndMonth": 0,
        "AllowTitleChange": true,
        "IsDuplicate": true,
        "ReportLinesCalculated": {
          "$type": "System.Collections.Generic.List`1[[ModelMakerEngine.IReportLine, ModelMakerEngine]], mscorlib",
          "$values": [
            {
              "$ref": "6"
            },
            {
              "$ref": "9"
            },
            {
              "$ref": "12"
            },
            {
              "$ref": "14"
            },
            {
              "$ref": "4"
            },
            {
              "$ref": "16"
            },
            {
              "$ref": "18"
            },
            {
              "$ref": "21"
            },
            {
              "$ref": "24"
            },
            {
              "$ref": "27"
            },
            {
              "$ref": "30"
            },
            {
              "$ref": "34"
            }
          ]
        },
        "ReportLines": {
          "$type": "ModelMaker.UndoableCollection`1[[ModelMakerEngine.IReportLine, ModelMakerEngine]], ModelMaker.Undo",
          "$values": [
            {
              "$ref": "6"
            },
            {
              "$ref": "9"
            },
            {
              "$ref": "12"
            },
            {
              "$ref": "14"
            },
            {
              "$ref": "4"
            },
            {
              "$ref": "16"
            },
            {
              "$ref": "18"
            },
            {
              "$ref": "21"
            },
            {
              "$ref": "24"
            },
            {
              "$ref": "27"
            },
            {
              "$ref": "30"
            },
            {
              "$ref": "34"
            }
          ]
        },
        "YPosition": -1,
        "Name": "Income Statemen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8",
        "$type": "ModelMaker.Report, ModelMaker",
        "TimeStep": 5,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89",
        "$type": "ModelMaker.Report, ModelMaker",
        "TimeStep": 6,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0",
        "$type": "ModelMaker.Report, ModelMaker",
        "TimeStep": 7,
        "YearEndBasis": 0,
        "YearEndMonth": 0,
        "AllowTitleChange": true,
        "IsDuplicate": true,
        "ReportLinesCalculated": {
          "$type": "System.Collections.Generic.List`1[[ModelMakerEngine.IReportLine, ModelMakerEngine]], mscorlib",
          "$values": [
            {
              "$ref": "93"
            },
            {
              "$ref": "135"
            },
            {
              "$ref": "138"
            },
            {
              "$ref": "145"
            },
            {
              "$ref": "91"
            },
            {
              "$ref": "147"
            },
            {
              "$ref": "150"
            },
            {
              "$ref": "157"
            },
            {
              "$ref": "162"
            },
            {
              "$ref": "167"
            },
            {
              "$ref": "172"
            },
            {
              "$ref": "177"
            },
            {
              "$ref": "180"
            },
            {
              "$ref": "182"
            },
            {
              "$ref": "185"
            },
            {
              "$ref": "187"
            },
            {
              "$ref": "189"
            }
          ]
        },
        "ReportLines": {
          "$type": "ModelMaker.UndoableCollection`1[[ModelMakerEngine.IReportLine, ModelMakerEngine]], ModelMaker.Undo",
          "$values": [
            {
              "$ref": "93"
            },
            {
              "$ref": "135"
            },
            {
              "$ref": "138"
            },
            {
              "$ref": "145"
            },
            {
              "$ref": "91"
            },
            {
              "$ref": "147"
            },
            {
              "$ref": "150"
            },
            {
              "$ref": "157"
            },
            {
              "$ref": "162"
            },
            {
              "$ref": "167"
            },
            {
              "$ref": "172"
            },
            {
              "$ref": "177"
            },
            {
              "$ref": "180"
            },
            {
              "$ref": "182"
            },
            {
              "$ref": "185"
            },
            {
              "$ref": "187"
            },
            {
              "$ref": "189"
            }
          ]
        },
        "YPosition": -1,
        "Name": "Balance Shee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1",
        "$type": "ModelMaker.Report, ModelMaker",
        "TimeStep": 5,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2",
        "$type": "ModelMaker.Report, ModelMaker",
        "TimeStep": 6,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3",
        "$type": "ModelMaker.Report, ModelMaker",
        "TimeStep": 7,
        "YearEndBasis": 0,
        "YearEndMonth": 0,
        "AllowTitleChange": true,
        "IsDuplicate": true,
        "ReportLinesCalculated": {
          "$type": "System.Collections.Generic.List`1[[ModelMakerEngine.IReportLine, ModelMakerEngine]], mscorlib",
          "$values": [
            {
              "$ref": "40"
            },
            {
              "$ref": "43"
            },
            {
              "$ref": "45"
            },
            {
              "$ref": "48"
            },
            {
              "$ref": "52"
            },
            {
              "$ref": "54"
            },
            {
              "$ref": "57"
            },
            {
              "$ref": "59"
            },
            {
              "$ref": "62"
            },
            {
              "$ref": "65"
            },
            {
              "$ref": "68"
            },
            {
              "$ref": "71"
            },
            {
              "$ref": "74"
            },
            {
              "$ref": "77"
            },
            {
              "$ref": "80"
            },
            {
              "$ref": "83"
            },
            {
              "$ref": "86"
            },
            {
              "$ref": "88"
            },
            {
              "$ref": "38"
            }
          ]
        },
        "ReportLines": {
          "$type": "ModelMaker.UndoableCollection`1[[ModelMakerEngine.IReportLine, ModelMakerEngine]], ModelMaker.Undo",
          "$values": [
            {
              "$ref": "40"
            },
            {
              "$ref": "43"
            },
            {
              "$ref": "45"
            },
            {
              "$ref": "48"
            },
            {
              "$ref": "52"
            },
            {
              "$ref": "54"
            },
            {
              "$ref": "57"
            },
            {
              "$ref": "59"
            },
            {
              "$ref": "62"
            },
            {
              "$ref": "65"
            },
            {
              "$ref": "68"
            },
            {
              "$ref": "71"
            },
            {
              "$ref": "74"
            },
            {
              "$ref": "77"
            },
            {
              "$ref": "80"
            },
            {
              "$ref": "83"
            },
            {
              "$ref": "86"
            },
            {
              "$ref": "88"
            },
            {
              "$ref": "38"
            }
          ]
        },
        "YPosition": -1,
        "Name": "Cashflow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4",
        "$type": "ModelMaker.Report, ModelMaker",
        "TimeStep": 5,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5",
        "$type": "ModelMaker.Report, ModelMaker",
        "TimeStep": 6,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6",
        "$type": "ModelMaker.Report, ModelMaker",
        "TimeStep": 7,
        "YearEndBasis": 0,
        "YearEndMonth": 0,
        "AllowTitleChange": true,
        "IsDuplicate": true,
        "ReportLinesCalculated": {
          "$type": "System.Collections.Generic.List`1[[ModelMakerEngine.IReportLine, ModelMakerEngine]], mscorlib",
          "$values": [
            {
              "$ref": "99"
            },
            {
              "$ref": "102"
            },
            {
              "$ref": "105"
            },
            {
              "$ref": "97"
            },
            {
              "$ref": "110"
            },
            {
              "$ref": "114"
            },
            {
              "$ref": "116"
            },
            {
              "$ref": "119"
            },
            {
              "$ref": "126"
            },
            {
              "$ref": "128"
            },
            {
              "$ref": "123"
            },
            {
              "$ref": "131"
            }
          ]
        },
        "ReportLines": {
          "$type": "ModelMaker.UndoableCollection`1[[ModelMakerEngine.IReportLine, ModelMakerEngine]], ModelMaker.Undo",
          "$values": [
            {
              "$ref": "99"
            },
            {
              "$ref": "102"
            },
            {
              "$ref": "105"
            },
            {
              "$ref": "97"
            },
            {
              "$ref": "110"
            },
            {
              "$ref": "114"
            },
            {
              "$ref": "116"
            },
            {
              "$ref": "119"
            },
            {
              "$ref": "126"
            },
            {
              "$ref": "128"
            },
            {
              "$ref": "123"
            },
            {
              "$ref": "131"
            }
          ]
        },
        "YPosition": -1,
        "Name": "Inventory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7",
        "$type": "ModelMaker.Report, ModelMaker",
        "TimeStep": 5,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8",
        "$type": "ModelMaker.Report, ModelMaker",
        "TimeStep": 6,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99",
        "$type": "ModelMaker.Report, ModelMaker",
        "TimeStep": 7,
        "YearEndBasis": 0,
        "YearEndMonth": 0,
        "AllowTitleChange": true,
        "IsDuplicate": true,
        "ReportLinesCalculated": {
          "$type": "System.Collections.Generic.List`1[[ModelMakerEngine.IReportLine, ModelMakerEngine]], mscorlib",
          "$values": [
            {
              "$ref": "448"
            }
          ]
        },
        "ReportLines": {
          "$type": "ModelMaker.UndoableCollection`1[[ModelMakerEngine.IReportLine, ModelMakerEngine]], ModelMaker.Undo",
          "$values": [
            {
              "$ref": "448"
            }
          ]
        },
        "YPosition": -1,
        "Name": "Metrics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6"
      },
      {
        "$ref": "191"
      },
      {
        "$ref": "355"
      },
      {
        "$ref": "450"
      },
      {
        "$ref": "437"
      },
      {
        "$ref": "431"
      },
      {
        "$ref": "439"
      },
      {
        "$ref": "428"
      },
      {
        "$ref": "453"
      },
      {
        "$ref": "440"
      },
      {
        "$ref": "438"
      },
      {
        "$ref": "446"
      },
      {
        "$ref": "443"
      },
      {
        "$ref": "456"
      },
      {
        "$ref": "463"
      },
      {
        "$ref": "484"
      },
      {
        "$ref": "451"
      },
      {
        "$ref": "427"
      },
      {
        "$ref": "434"
      }
    ]
  },
  "OptimisationGroup": {
    "$ref": "434"
  },
  "NumberOfBuiltInGroups": 6,
  "Password": null,
  "ProtectBook": false,
  "Description": null,
  "ActualsHelper": null,
  "StandardNumberFormats": {
    "$id": "500",
    "$type": "System.Collections.Generic.Dictionary`2[[ModelMakerEngine.NamedNumberFormat, ModelMakerEngine],[System.String, mscorlib]], mscorlib"
  },
  "UseHybridTimeline": false,
  "MessageChoices": {
    "$id": "501",
    "$type": "System.Collections.Generic.Dictionary`2[[System.String, mscorlib],[System.Int32, mscorlib]], mscorlib",
    "UnusedItems": 2
  },
  "UnitNumberFormatMapping": {
    "$id": "502",
    "$type": "ModelMakerEngine.UnitNumberFormatMapping, ModelMakerEngine",
    "UnitNumberFormatting": {
      "$id": "503",
      "$type": "System.Collections.Generic.Dictionary`2[[System.String, mscorlib],[ModelMakerEngine.NamedNumberFormat, ModelMakerEngine]], mscorlib"
    },
    "UnitCustomNumberFormatting": {
      "$id": "504",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Users\andyd\OneDrive\Documents\Financial Models\AQR\Aquarate.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ABED425A-C3C6-4EAA-A2AB-727C4DFEAF8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276</vt:i4>
      </vt:variant>
    </vt:vector>
  </HeadingPairs>
  <TitlesOfParts>
    <vt:vector size="322" baseType="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Asset_Finance_balance.FLOW</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Cash.FLOW</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Corporation_tax</vt:lpstr>
      <vt:lpstr>Corporation_tax.NEG</vt:lpstr>
      <vt:lpstr>Corporation_tax_creditor</vt:lpstr>
      <vt:lpstr>Corporation_tax_creditor.BEG</vt:lpstr>
      <vt:lpstr>Corporation_tax_creditor.FLOW</vt:lpstr>
      <vt:lpstr>Corporation_tax_paid</vt:lpstr>
      <vt:lpstr>Corporation_tax_paid.NEG</vt:lpstr>
      <vt:lpstr>Creditors</vt:lpstr>
      <vt:lpstr>Creditors.BEG</vt:lpstr>
      <vt:lpstr>Creditors.FLOW</vt:lpstr>
      <vt:lpstr>Customer_Orders_Awaiting_Fullfilment</vt:lpstr>
      <vt:lpstr>Customer_Orders_Awaiting_Fullfilment.BEG</vt:lpstr>
      <vt:lpstr>Customer_Orders_Awaiting_Fullfilment.FLOW</vt:lpstr>
      <vt:lpstr>Debtors</vt:lpstr>
      <vt:lpstr>Debtors.BEG</vt:lpstr>
      <vt:lpstr>Debtors.FLOW</vt:lpstr>
      <vt:lpstr>Deferred_Income</vt:lpstr>
      <vt:lpstr>Deferred_Income.BEG</vt:lpstr>
      <vt:lpstr>Deferred_Income.FLOW</vt:lpstr>
      <vt:lpstr>Deployed_units_returned</vt:lpstr>
      <vt:lpstr>Depreciation</vt:lpstr>
      <vt:lpstr>Depreciation.BEG</vt:lpstr>
      <vt:lpstr>Depreciation.FLOW</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Inventory.FLOW</vt:lpstr>
      <vt:lpstr>Invoice_finance_balance</vt:lpstr>
      <vt:lpstr>Invoice_finance_balance.BEG</vt:lpstr>
      <vt:lpstr>Invoice_finance_balance.FLOW</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Net_Assets</vt:lpstr>
      <vt:lpstr>Net_Cashflow</vt:lpstr>
      <vt:lpstr>New_customer_orders</vt:lpstr>
      <vt:lpstr>New_share_capital_issued</vt:lpstr>
      <vt:lpstr>obxIssuesLog</vt:lpstr>
      <vt:lpstr>Operating_Cashflow</vt:lpstr>
      <vt:lpstr>Profit_before_tax</vt:lpstr>
      <vt:lpstr>Renewing_Customer_Orders</vt:lpstr>
      <vt:lpstr>ReportBarFormat</vt:lpstr>
      <vt:lpstr>Retained_Earnings</vt:lpstr>
      <vt:lpstr>Retained_Earnings.BEG</vt:lpstr>
      <vt:lpstr>Retained_Earnings.FLOW</vt:lpstr>
      <vt:lpstr>Retained_Earnings_this_period</vt:lpstr>
      <vt:lpstr>scenario</vt:lpstr>
      <vt:lpstr>ScenarioPointer</vt:lpstr>
      <vt:lpstr>SensitivityInputs</vt:lpstr>
      <vt:lpstr>Share_Capital</vt:lpstr>
      <vt:lpstr>Share_Capital.BEG</vt:lpstr>
      <vt:lpstr>Share_Capital.FLOW</vt:lpstr>
      <vt:lpstr>Shareholder_Equity</vt:lpstr>
      <vt:lpstr>Supply_Chain_Finance_balance</vt:lpstr>
      <vt:lpstr>Supply_Chain_Finance_balance.BEG</vt:lpstr>
      <vt:lpstr>Supply_Chain_Finance_balance.FLOW</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Total_Units_retired</vt:lpstr>
      <vt:lpstr>Total_Units_retired.BEG</vt:lpstr>
      <vt:lpstr>Total_Units_retired.FLOW</vt:lpstr>
      <vt:lpstr>Totals</vt:lpstr>
      <vt:lpstr>Units</vt:lpstr>
      <vt:lpstr>Units_delivered</vt:lpstr>
      <vt:lpstr>Units_deployed</vt:lpstr>
      <vt:lpstr>Units_in_stock</vt:lpstr>
      <vt:lpstr>Units_in_stock.BEG</vt:lpstr>
      <vt:lpstr>Units_in_stock.FLOW</vt:lpstr>
      <vt:lpstr>Units_in_use</vt:lpstr>
      <vt:lpstr>Units_in_use.BEG</vt:lpstr>
      <vt:lpstr>Units_in_use.FLOW</vt:lpstr>
      <vt:lpstr>Units_on_order</vt:lpstr>
      <vt:lpstr>Units_on_order.BEG</vt:lpstr>
      <vt:lpstr>Units_on_order.FLOW</vt:lpstr>
      <vt:lpstr>Units_ordered</vt:lpstr>
      <vt:lpstr>Units_retired</vt:lpstr>
      <vt:lpstr>Variable_Operating_expense</vt:lpstr>
      <vt:lpstr>Variable_Operating_expense.NEG</vt:lpstr>
      <vt:lpstr>VAT_balance</vt:lpstr>
      <vt:lpstr>VAT_balance.BEG</vt:lpstr>
      <vt:lpstr>VAT_balance.FLOW</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modified xsi:type="dcterms:W3CDTF">2023-03-20T19:48:24Z</dcterms:modified>
</cp:coreProperties>
</file>